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showInkAnnotation="0" codeName="ThisWorkbook" autoCompressPictures="0"/>
  <bookViews>
    <workbookView xWindow="8060" yWindow="580" windowWidth="19040" windowHeight="14680" tabRatio="787" firstSheet="3" activeTab="3"/>
  </bookViews>
  <sheets>
    <sheet name="Sources &amp; notes" sheetId="14" r:id="rId1"/>
    <sheet name="(1) Household LF size hints" sheetId="20" r:id="rId2"/>
    <sheet name="(2) Homes for non-HH earners" sheetId="21" r:id="rId3"/>
    <sheet name="(3) household income summary" sheetId="15" r:id="rId4"/>
    <sheet name="(4) New Eng size dist" sheetId="17" r:id="rId5"/>
    <sheet name="(5) Mid Cols size dist" sheetId="18" r:id="rId6"/>
    <sheet name="(6) South size dist" sheetId="16" r:id="rId7"/>
    <sheet name="(7) All 13, size dist" sheetId="19" r:id="rId8"/>
    <sheet name="(8) inequality summary" sheetId="22"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53" i="15" l="1"/>
  <c r="N53" i="15"/>
  <c r="O53" i="15"/>
  <c r="L53" i="15"/>
  <c r="AP17" i="15"/>
  <c r="AP11" i="15"/>
  <c r="AP46" i="15"/>
  <c r="AP45" i="15"/>
  <c r="AK54" i="15"/>
  <c r="AM54" i="15"/>
  <c r="AK55" i="15"/>
  <c r="AM55" i="15"/>
  <c r="G63" i="15"/>
  <c r="G64" i="15"/>
  <c r="G65" i="15"/>
  <c r="G66" i="15"/>
  <c r="L25" i="15"/>
  <c r="L26" i="15"/>
  <c r="L27" i="15"/>
  <c r="L28" i="15"/>
  <c r="L29" i="15"/>
  <c r="L34" i="15"/>
  <c r="L35" i="15"/>
  <c r="L36" i="15"/>
  <c r="L37" i="15"/>
  <c r="L38" i="15"/>
  <c r="L39" i="15"/>
  <c r="L40" i="15"/>
  <c r="L24" i="15"/>
  <c r="L46" i="15"/>
  <c r="G12" i="15"/>
  <c r="G13" i="15"/>
  <c r="G14" i="15"/>
  <c r="G15" i="15"/>
  <c r="G16" i="15"/>
  <c r="G17" i="15"/>
  <c r="G18" i="15"/>
  <c r="G19" i="15"/>
  <c r="G20" i="15"/>
  <c r="G21" i="15"/>
  <c r="G11" i="15"/>
  <c r="G46" i="15"/>
  <c r="L52" i="15"/>
  <c r="M25" i="15"/>
  <c r="M26" i="15"/>
  <c r="M27" i="15"/>
  <c r="M28" i="15"/>
  <c r="M29" i="15"/>
  <c r="M34" i="15"/>
  <c r="M35" i="15"/>
  <c r="M36" i="15"/>
  <c r="M37" i="15"/>
  <c r="M38" i="15"/>
  <c r="M39" i="15"/>
  <c r="M40" i="15"/>
  <c r="M24" i="15"/>
  <c r="M46" i="15"/>
  <c r="H12" i="15"/>
  <c r="H13" i="15"/>
  <c r="H14" i="15"/>
  <c r="H15" i="15"/>
  <c r="H16" i="15"/>
  <c r="H17" i="15"/>
  <c r="H18" i="15"/>
  <c r="H19" i="15"/>
  <c r="H20" i="15"/>
  <c r="H21" i="15"/>
  <c r="H22" i="15"/>
  <c r="H11" i="15"/>
  <c r="H25" i="15"/>
  <c r="H26" i="15"/>
  <c r="H27" i="15"/>
  <c r="H28" i="15"/>
  <c r="H34" i="15"/>
  <c r="H35" i="15"/>
  <c r="H36" i="15"/>
  <c r="H37" i="15"/>
  <c r="H38" i="15"/>
  <c r="H41" i="15"/>
  <c r="H24" i="15"/>
  <c r="H46" i="15"/>
  <c r="M52" i="15"/>
  <c r="N25" i="15"/>
  <c r="N26" i="15"/>
  <c r="N27" i="15"/>
  <c r="N28" i="15"/>
  <c r="N29" i="15"/>
  <c r="N34" i="15"/>
  <c r="N35" i="15"/>
  <c r="N36" i="15"/>
  <c r="N37" i="15"/>
  <c r="N38" i="15"/>
  <c r="N39" i="15"/>
  <c r="N40" i="15"/>
  <c r="N24" i="15"/>
  <c r="N46" i="15"/>
  <c r="I12" i="15"/>
  <c r="I13" i="15"/>
  <c r="I14" i="15"/>
  <c r="I15" i="15"/>
  <c r="I16" i="15"/>
  <c r="I17" i="15"/>
  <c r="I18" i="15"/>
  <c r="I19" i="15"/>
  <c r="I20" i="15"/>
  <c r="I11" i="15"/>
  <c r="I41" i="15"/>
  <c r="I24" i="15"/>
  <c r="I46" i="15"/>
  <c r="N52" i="15"/>
  <c r="O46" i="15"/>
  <c r="J11" i="15"/>
  <c r="J24" i="15"/>
  <c r="J46" i="15"/>
  <c r="O52" i="15"/>
  <c r="M45" i="15"/>
  <c r="H45" i="15"/>
  <c r="M51" i="15"/>
  <c r="N45" i="15"/>
  <c r="I45" i="15"/>
  <c r="N51" i="15"/>
  <c r="L45" i="15"/>
  <c r="O45" i="15"/>
  <c r="G45" i="15"/>
  <c r="J45" i="15"/>
  <c r="O51" i="15"/>
  <c r="L51" i="15"/>
  <c r="AI51" i="15"/>
  <c r="I27" i="20"/>
  <c r="L27" i="20"/>
  <c r="L28" i="20"/>
  <c r="L29" i="20"/>
  <c r="L30" i="20"/>
  <c r="L31" i="20"/>
  <c r="I31" i="20"/>
  <c r="M31" i="20"/>
  <c r="G31" i="20"/>
  <c r="O31" i="20"/>
  <c r="N31" i="20"/>
  <c r="K31" i="20"/>
  <c r="J31" i="20"/>
  <c r="H31" i="20"/>
  <c r="F27" i="20"/>
  <c r="F31" i="20"/>
  <c r="E31" i="20"/>
  <c r="M30" i="20"/>
  <c r="O30" i="20"/>
  <c r="N30" i="20"/>
  <c r="M29" i="20"/>
  <c r="O29" i="20"/>
  <c r="N29" i="20"/>
  <c r="M28" i="20"/>
  <c r="O28" i="20"/>
  <c r="N28" i="20"/>
  <c r="M27" i="20"/>
  <c r="O27" i="20"/>
  <c r="N27" i="20"/>
  <c r="F18" i="20"/>
  <c r="E18" i="20"/>
  <c r="G18" i="20"/>
  <c r="X15" i="21"/>
  <c r="Y15" i="21"/>
  <c r="Z15" i="21"/>
  <c r="W29" i="21"/>
  <c r="X29" i="21"/>
  <c r="Y29" i="21"/>
  <c r="Z29" i="21"/>
  <c r="Z46" i="21"/>
  <c r="AB17" i="21"/>
  <c r="AB18" i="21"/>
  <c r="AB19" i="21"/>
  <c r="AB20" i="21"/>
  <c r="AB21" i="21"/>
  <c r="AB22" i="21"/>
  <c r="AB15" i="21"/>
  <c r="AB31" i="21"/>
  <c r="AB32" i="21"/>
  <c r="AB33" i="21"/>
  <c r="AB34" i="21"/>
  <c r="AB35" i="21"/>
  <c r="AB36" i="21"/>
  <c r="AB42" i="21"/>
  <c r="AB29" i="21"/>
  <c r="AB46" i="21"/>
  <c r="AC17" i="21"/>
  <c r="AC18" i="21"/>
  <c r="AC19" i="21"/>
  <c r="AC20" i="21"/>
  <c r="AC21" i="21"/>
  <c r="AC22" i="21"/>
  <c r="H26" i="21"/>
  <c r="AC26" i="21"/>
  <c r="AC15" i="21"/>
  <c r="AC31" i="21"/>
  <c r="AC32" i="21"/>
  <c r="AC33" i="21"/>
  <c r="AC34" i="21"/>
  <c r="AC35" i="21"/>
  <c r="AC36" i="21"/>
  <c r="H42" i="21"/>
  <c r="AC42" i="21"/>
  <c r="AC29" i="21"/>
  <c r="AC46" i="21"/>
  <c r="AD17" i="21"/>
  <c r="AD18" i="21"/>
  <c r="AD19" i="21"/>
  <c r="AD20" i="21"/>
  <c r="AD21" i="21"/>
  <c r="AD22" i="21"/>
  <c r="AD15" i="21"/>
  <c r="AD31" i="21"/>
  <c r="AD32" i="21"/>
  <c r="AD33" i="21"/>
  <c r="AD34" i="21"/>
  <c r="AD35" i="21"/>
  <c r="AD36" i="21"/>
  <c r="I42" i="21"/>
  <c r="AD42" i="21"/>
  <c r="AD29" i="21"/>
  <c r="AD46" i="21"/>
  <c r="AE46" i="21"/>
  <c r="G15" i="21"/>
  <c r="G29" i="21"/>
  <c r="G46" i="21"/>
  <c r="H15" i="21"/>
  <c r="H29" i="21"/>
  <c r="H46" i="21"/>
  <c r="I15" i="21"/>
  <c r="I29" i="21"/>
  <c r="I46" i="21"/>
  <c r="J46" i="21"/>
  <c r="AE51" i="21"/>
  <c r="AE53" i="21"/>
  <c r="P16" i="21"/>
  <c r="AP26" i="21"/>
  <c r="AP15" i="21"/>
  <c r="AP16" i="21"/>
  <c r="BD16" i="21"/>
  <c r="CC16" i="21"/>
  <c r="P17" i="21"/>
  <c r="AP17" i="21"/>
  <c r="BD17" i="21"/>
  <c r="CC17" i="21"/>
  <c r="P18" i="21"/>
  <c r="AP18" i="21"/>
  <c r="BD18" i="21"/>
  <c r="CC18" i="21"/>
  <c r="P19" i="21"/>
  <c r="AP19" i="21"/>
  <c r="BD19" i="21"/>
  <c r="CC19" i="21"/>
  <c r="P20" i="21"/>
  <c r="AP20" i="21"/>
  <c r="BD20" i="21"/>
  <c r="CC20" i="21"/>
  <c r="P21" i="21"/>
  <c r="AP21" i="21"/>
  <c r="BD21" i="21"/>
  <c r="CC21" i="21"/>
  <c r="P22" i="21"/>
  <c r="CC22" i="21"/>
  <c r="P23" i="21"/>
  <c r="CC23" i="21"/>
  <c r="P24" i="21"/>
  <c r="CC24" i="21"/>
  <c r="P25" i="21"/>
  <c r="CC25" i="21"/>
  <c r="BD26" i="21"/>
  <c r="CC26" i="21"/>
  <c r="CC15" i="21"/>
  <c r="P30" i="21"/>
  <c r="AP42" i="21"/>
  <c r="AP29" i="21"/>
  <c r="AP30" i="21"/>
  <c r="BD30" i="21"/>
  <c r="CC30" i="21"/>
  <c r="P31" i="21"/>
  <c r="AP31" i="21"/>
  <c r="BD31" i="21"/>
  <c r="CC31" i="21"/>
  <c r="P32" i="21"/>
  <c r="AP32" i="21"/>
  <c r="BD32" i="21"/>
  <c r="CC32" i="21"/>
  <c r="P33" i="21"/>
  <c r="AP33" i="21"/>
  <c r="BD33" i="21"/>
  <c r="CC33" i="21"/>
  <c r="P34" i="21"/>
  <c r="AP34" i="21"/>
  <c r="BD34" i="21"/>
  <c r="CC34" i="21"/>
  <c r="P35" i="21"/>
  <c r="AP35" i="21"/>
  <c r="BD35" i="21"/>
  <c r="CC35" i="21"/>
  <c r="P36" i="21"/>
  <c r="CC36" i="21"/>
  <c r="P37" i="21"/>
  <c r="CC37" i="21"/>
  <c r="P38" i="21"/>
  <c r="CC38" i="21"/>
  <c r="P39" i="21"/>
  <c r="CC39" i="21"/>
  <c r="P42" i="21"/>
  <c r="AG42" i="21"/>
  <c r="AY42" i="21"/>
  <c r="BD42" i="21"/>
  <c r="CC42" i="21"/>
  <c r="CC29" i="21"/>
  <c r="CC46" i="21"/>
  <c r="Q16" i="21"/>
  <c r="AQ26" i="21"/>
  <c r="AQ15" i="21"/>
  <c r="AQ16" i="21"/>
  <c r="BE16" i="21"/>
  <c r="CD16" i="21"/>
  <c r="Q17" i="21"/>
  <c r="AQ17" i="21"/>
  <c r="BE17" i="21"/>
  <c r="CD17" i="21"/>
  <c r="Q18" i="21"/>
  <c r="AQ18" i="21"/>
  <c r="BE18" i="21"/>
  <c r="CD18" i="21"/>
  <c r="Q19" i="21"/>
  <c r="AQ19" i="21"/>
  <c r="BE19" i="21"/>
  <c r="CD19" i="21"/>
  <c r="Q20" i="21"/>
  <c r="AQ20" i="21"/>
  <c r="BE20" i="21"/>
  <c r="CD20" i="21"/>
  <c r="Q21" i="21"/>
  <c r="AQ21" i="21"/>
  <c r="BE21" i="21"/>
  <c r="CD21" i="21"/>
  <c r="Q22" i="21"/>
  <c r="CD22" i="21"/>
  <c r="Q23" i="21"/>
  <c r="CD23" i="21"/>
  <c r="Q24" i="21"/>
  <c r="CD24" i="21"/>
  <c r="Q25" i="21"/>
  <c r="CD25" i="21"/>
  <c r="Q26" i="21"/>
  <c r="BE26" i="21"/>
  <c r="CD26" i="21"/>
  <c r="CD15" i="21"/>
  <c r="Q30" i="21"/>
  <c r="AQ42" i="21"/>
  <c r="AQ29" i="21"/>
  <c r="AQ30" i="21"/>
  <c r="BE30" i="21"/>
  <c r="CD30" i="21"/>
  <c r="Q31" i="21"/>
  <c r="AQ31" i="21"/>
  <c r="BE31" i="21"/>
  <c r="CD31" i="21"/>
  <c r="Q32" i="21"/>
  <c r="AQ32" i="21"/>
  <c r="BE32" i="21"/>
  <c r="CD32" i="21"/>
  <c r="Q33" i="21"/>
  <c r="AQ33" i="21"/>
  <c r="BE33" i="21"/>
  <c r="CD33" i="21"/>
  <c r="Q34" i="21"/>
  <c r="AQ34" i="21"/>
  <c r="BE34" i="21"/>
  <c r="CD34" i="21"/>
  <c r="Q35" i="21"/>
  <c r="AQ35" i="21"/>
  <c r="BE35" i="21"/>
  <c r="CD35" i="21"/>
  <c r="Q36" i="21"/>
  <c r="CD36" i="21"/>
  <c r="Q37" i="21"/>
  <c r="CD37" i="21"/>
  <c r="Q38" i="21"/>
  <c r="CD38" i="21"/>
  <c r="Q39" i="21"/>
  <c r="CD39" i="21"/>
  <c r="Q42" i="21"/>
  <c r="AH42" i="21"/>
  <c r="AZ42" i="21"/>
  <c r="BE42" i="21"/>
  <c r="CD42" i="21"/>
  <c r="CD29" i="21"/>
  <c r="CD46" i="21"/>
  <c r="R16" i="21"/>
  <c r="AR15" i="21"/>
  <c r="AR16" i="21"/>
  <c r="BF16" i="21"/>
  <c r="CE16" i="21"/>
  <c r="R17" i="21"/>
  <c r="AR17" i="21"/>
  <c r="BF17" i="21"/>
  <c r="CE17" i="21"/>
  <c r="R18" i="21"/>
  <c r="AR18" i="21"/>
  <c r="BF18" i="21"/>
  <c r="CE18" i="21"/>
  <c r="R19" i="21"/>
  <c r="AR19" i="21"/>
  <c r="BF19" i="21"/>
  <c r="CE19" i="21"/>
  <c r="R20" i="21"/>
  <c r="AR20" i="21"/>
  <c r="BF20" i="21"/>
  <c r="CE20" i="21"/>
  <c r="R21" i="21"/>
  <c r="AR21" i="21"/>
  <c r="BF21" i="21"/>
  <c r="CE21" i="21"/>
  <c r="R22" i="21"/>
  <c r="CE22" i="21"/>
  <c r="R23" i="21"/>
  <c r="CE23" i="21"/>
  <c r="R24" i="21"/>
  <c r="CE24" i="21"/>
  <c r="CE15" i="21"/>
  <c r="R30" i="21"/>
  <c r="AR42" i="21"/>
  <c r="AR29" i="21"/>
  <c r="AR30" i="21"/>
  <c r="BF30" i="21"/>
  <c r="CE30" i="21"/>
  <c r="R31" i="21"/>
  <c r="AR31" i="21"/>
  <c r="BF31" i="21"/>
  <c r="CE31" i="21"/>
  <c r="R32" i="21"/>
  <c r="AR32" i="21"/>
  <c r="BF32" i="21"/>
  <c r="CE32" i="21"/>
  <c r="R33" i="21"/>
  <c r="AR33" i="21"/>
  <c r="BF33" i="21"/>
  <c r="CE33" i="21"/>
  <c r="R34" i="21"/>
  <c r="AR34" i="21"/>
  <c r="BF34" i="21"/>
  <c r="CE34" i="21"/>
  <c r="R35" i="21"/>
  <c r="AR35" i="21"/>
  <c r="BF35" i="21"/>
  <c r="CE35" i="21"/>
  <c r="R36" i="21"/>
  <c r="CE36" i="21"/>
  <c r="R37" i="21"/>
  <c r="CE37" i="21"/>
  <c r="R38" i="21"/>
  <c r="CE38" i="21"/>
  <c r="R40" i="21"/>
  <c r="CE40" i="21"/>
  <c r="R41" i="21"/>
  <c r="CE41" i="21"/>
  <c r="R42" i="21"/>
  <c r="AI42" i="21"/>
  <c r="BA42" i="21"/>
  <c r="BF42" i="21"/>
  <c r="CE42" i="21"/>
  <c r="CE29" i="21"/>
  <c r="CE46" i="21"/>
  <c r="CF46" i="21"/>
  <c r="CF51" i="21"/>
  <c r="CE51" i="21"/>
  <c r="CD51" i="21"/>
  <c r="CC51" i="21"/>
  <c r="BD15" i="21"/>
  <c r="BD29" i="21"/>
  <c r="BD46" i="21"/>
  <c r="BE15" i="21"/>
  <c r="BE29" i="21"/>
  <c r="BE46" i="21"/>
  <c r="BF15" i="21"/>
  <c r="BF29" i="21"/>
  <c r="BF46" i="21"/>
  <c r="BG46" i="21"/>
  <c r="AG17" i="21"/>
  <c r="AK17" i="21"/>
  <c r="AG18" i="21"/>
  <c r="AK18" i="21"/>
  <c r="AG19" i="21"/>
  <c r="AK19" i="21"/>
  <c r="AG20" i="21"/>
  <c r="AK20" i="21"/>
  <c r="AG21" i="21"/>
  <c r="AK21" i="21"/>
  <c r="AG22" i="21"/>
  <c r="AK22" i="21"/>
  <c r="AK15" i="21"/>
  <c r="AG31" i="21"/>
  <c r="AK31" i="21"/>
  <c r="AG32" i="21"/>
  <c r="AK32" i="21"/>
  <c r="AG33" i="21"/>
  <c r="AK33" i="21"/>
  <c r="AG34" i="21"/>
  <c r="AK34" i="21"/>
  <c r="AG35" i="21"/>
  <c r="AK35" i="21"/>
  <c r="AG36" i="21"/>
  <c r="AK36" i="21"/>
  <c r="AK42" i="21"/>
  <c r="AK29" i="21"/>
  <c r="AK46" i="21"/>
  <c r="AH17" i="21"/>
  <c r="AL17" i="21"/>
  <c r="AH18" i="21"/>
  <c r="AL18" i="21"/>
  <c r="AH19" i="21"/>
  <c r="AL19" i="21"/>
  <c r="AH20" i="21"/>
  <c r="AL20" i="21"/>
  <c r="AH21" i="21"/>
  <c r="AL21" i="21"/>
  <c r="AH22" i="21"/>
  <c r="AL22" i="21"/>
  <c r="AH26" i="21"/>
  <c r="AL26" i="21"/>
  <c r="AL15" i="21"/>
  <c r="AH31" i="21"/>
  <c r="AL31" i="21"/>
  <c r="AH32" i="21"/>
  <c r="AL32" i="21"/>
  <c r="AH33" i="21"/>
  <c r="AL33" i="21"/>
  <c r="AH34" i="21"/>
  <c r="AL34" i="21"/>
  <c r="AH35" i="21"/>
  <c r="AL35" i="21"/>
  <c r="AH36" i="21"/>
  <c r="AL36" i="21"/>
  <c r="AL42" i="21"/>
  <c r="AL29" i="21"/>
  <c r="AL46" i="21"/>
  <c r="AI17" i="21"/>
  <c r="AM17" i="21"/>
  <c r="AI18" i="21"/>
  <c r="AM18" i="21"/>
  <c r="AI19" i="21"/>
  <c r="AM19" i="21"/>
  <c r="AI20" i="21"/>
  <c r="AM20" i="21"/>
  <c r="AI21" i="21"/>
  <c r="AM21" i="21"/>
  <c r="AI22" i="21"/>
  <c r="AM22" i="21"/>
  <c r="AM15" i="21"/>
  <c r="AI31" i="21"/>
  <c r="AM31" i="21"/>
  <c r="AI32" i="21"/>
  <c r="AM32" i="21"/>
  <c r="AI33" i="21"/>
  <c r="AM33" i="21"/>
  <c r="AI34" i="21"/>
  <c r="AM34" i="21"/>
  <c r="AI35" i="21"/>
  <c r="AM35" i="21"/>
  <c r="AI36" i="21"/>
  <c r="AM36" i="21"/>
  <c r="AM42" i="21"/>
  <c r="AM29" i="21"/>
  <c r="AM46" i="21"/>
  <c r="AN46" i="21"/>
  <c r="BG47" i="21"/>
  <c r="BG51" i="21"/>
  <c r="BF47" i="21"/>
  <c r="BF51" i="21"/>
  <c r="BE47" i="21"/>
  <c r="BE51" i="21"/>
  <c r="BD47" i="21"/>
  <c r="BD51" i="21"/>
  <c r="P15" i="21"/>
  <c r="P40" i="21"/>
  <c r="P41" i="21"/>
  <c r="P29" i="21"/>
  <c r="P46" i="21"/>
  <c r="Q15" i="21"/>
  <c r="Q40" i="21"/>
  <c r="Q41" i="21"/>
  <c r="Q29" i="21"/>
  <c r="Q46" i="21"/>
  <c r="R15" i="21"/>
  <c r="R39" i="21"/>
  <c r="R29" i="21"/>
  <c r="R46" i="21"/>
  <c r="S46" i="21"/>
  <c r="AN49" i="21"/>
  <c r="AN51" i="21"/>
  <c r="CF49" i="21"/>
  <c r="CE49" i="21"/>
  <c r="CD49" i="21"/>
  <c r="CC49" i="21"/>
  <c r="BN16" i="21"/>
  <c r="BN17" i="21"/>
  <c r="BN18" i="21"/>
  <c r="BN19" i="21"/>
  <c r="BN20" i="21"/>
  <c r="BN21" i="21"/>
  <c r="BN22" i="21"/>
  <c r="BN23" i="21"/>
  <c r="BN24" i="21"/>
  <c r="BN25" i="21"/>
  <c r="BN26" i="21"/>
  <c r="BN15" i="21"/>
  <c r="BN30" i="21"/>
  <c r="BN31" i="21"/>
  <c r="BN32" i="21"/>
  <c r="BN33" i="21"/>
  <c r="BN34" i="21"/>
  <c r="BN35" i="21"/>
  <c r="BN36" i="21"/>
  <c r="BN37" i="21"/>
  <c r="BN38" i="21"/>
  <c r="BN39" i="21"/>
  <c r="BN42" i="21"/>
  <c r="BN29" i="21"/>
  <c r="BN46" i="21"/>
  <c r="BO16" i="21"/>
  <c r="BO17" i="21"/>
  <c r="BO18" i="21"/>
  <c r="BO19" i="21"/>
  <c r="BO20" i="21"/>
  <c r="BO21" i="21"/>
  <c r="BO22" i="21"/>
  <c r="BO23" i="21"/>
  <c r="BO24" i="21"/>
  <c r="BO25" i="21"/>
  <c r="BO26" i="21"/>
  <c r="BO15" i="21"/>
  <c r="BO30" i="21"/>
  <c r="BO31" i="21"/>
  <c r="BO32" i="21"/>
  <c r="BO33" i="21"/>
  <c r="BO34" i="21"/>
  <c r="BO35" i="21"/>
  <c r="BO36" i="21"/>
  <c r="BO37" i="21"/>
  <c r="BO38" i="21"/>
  <c r="BO39" i="21"/>
  <c r="BO42" i="21"/>
  <c r="BO29" i="21"/>
  <c r="BO46" i="21"/>
  <c r="BP16" i="21"/>
  <c r="BP17" i="21"/>
  <c r="BP18" i="21"/>
  <c r="BP19" i="21"/>
  <c r="BP20" i="21"/>
  <c r="BP21" i="21"/>
  <c r="BP22" i="21"/>
  <c r="BP23" i="21"/>
  <c r="BP24" i="21"/>
  <c r="BP25" i="21"/>
  <c r="BP15" i="21"/>
  <c r="BP30" i="21"/>
  <c r="BP31" i="21"/>
  <c r="BP32" i="21"/>
  <c r="BP33" i="21"/>
  <c r="BP34" i="21"/>
  <c r="BP35" i="21"/>
  <c r="BP36" i="21"/>
  <c r="BP37" i="21"/>
  <c r="BP38" i="21"/>
  <c r="BP39" i="21"/>
  <c r="BP40" i="21"/>
  <c r="BP41" i="21"/>
  <c r="BP42" i="21"/>
  <c r="BP29" i="21"/>
  <c r="BP46" i="21"/>
  <c r="BQ46" i="21"/>
  <c r="BQ49" i="21"/>
  <c r="BP49" i="21"/>
  <c r="BO49" i="21"/>
  <c r="BN49" i="21"/>
  <c r="AP46" i="21"/>
  <c r="AQ46" i="21"/>
  <c r="AR46" i="21"/>
  <c r="AS46" i="21"/>
  <c r="AS49" i="21"/>
  <c r="AI49" i="21"/>
  <c r="AH49" i="21"/>
  <c r="AG49" i="21"/>
  <c r="AI48" i="21"/>
  <c r="AH48" i="21"/>
  <c r="AG48" i="21"/>
  <c r="AS47" i="21"/>
  <c r="AR47" i="21"/>
  <c r="AQ47" i="21"/>
  <c r="AP47" i="21"/>
  <c r="AK45" i="21"/>
  <c r="AL45" i="21"/>
  <c r="AM45" i="21"/>
  <c r="AN45" i="21"/>
  <c r="AN26" i="21"/>
  <c r="AN42" i="21"/>
  <c r="AN47" i="21"/>
  <c r="AM47" i="21"/>
  <c r="AL47" i="21"/>
  <c r="AK47" i="21"/>
  <c r="J26" i="21"/>
  <c r="AE26" i="21"/>
  <c r="AE42" i="21"/>
  <c r="AE45" i="21"/>
  <c r="AE47" i="21"/>
  <c r="AD45" i="21"/>
  <c r="AD47" i="21"/>
  <c r="AC45" i="21"/>
  <c r="AC47" i="21"/>
  <c r="AB45" i="21"/>
  <c r="AB47" i="21"/>
  <c r="P45" i="21"/>
  <c r="Q45" i="21"/>
  <c r="R45" i="21"/>
  <c r="S45" i="21"/>
  <c r="S26" i="21"/>
  <c r="S40" i="21"/>
  <c r="S41" i="21"/>
  <c r="S42" i="21"/>
  <c r="S47" i="21"/>
  <c r="R47" i="21"/>
  <c r="Q47" i="21"/>
  <c r="P47" i="21"/>
  <c r="G45" i="21"/>
  <c r="H45" i="21"/>
  <c r="I45" i="21"/>
  <c r="J45" i="21"/>
  <c r="J40" i="21"/>
  <c r="J41" i="21"/>
  <c r="J42" i="21"/>
  <c r="J47" i="21"/>
  <c r="I47" i="21"/>
  <c r="H47" i="21"/>
  <c r="G47" i="21"/>
  <c r="CA46" i="21"/>
  <c r="BZ46" i="21"/>
  <c r="BY46" i="21"/>
  <c r="BX46" i="21"/>
  <c r="BV46" i="21"/>
  <c r="BU46" i="21"/>
  <c r="BT46" i="21"/>
  <c r="BS46" i="21"/>
  <c r="BL46" i="21"/>
  <c r="BK46" i="21"/>
  <c r="BJ46" i="21"/>
  <c r="BI46" i="21"/>
  <c r="AW46" i="21"/>
  <c r="AV46" i="21"/>
  <c r="AU46" i="21"/>
  <c r="AI46" i="21"/>
  <c r="AH46" i="21"/>
  <c r="AG46" i="21"/>
  <c r="Y46" i="21"/>
  <c r="X46" i="21"/>
  <c r="W46" i="21"/>
  <c r="N46" i="21"/>
  <c r="M46" i="21"/>
  <c r="L46" i="21"/>
  <c r="CC45" i="21"/>
  <c r="CD45" i="21"/>
  <c r="CE45" i="21"/>
  <c r="CF45" i="21"/>
  <c r="CA45" i="21"/>
  <c r="BZ45" i="21"/>
  <c r="BY45" i="21"/>
  <c r="BX45" i="21"/>
  <c r="BN45" i="21"/>
  <c r="BO45" i="21"/>
  <c r="BP45" i="21"/>
  <c r="BQ45" i="21"/>
  <c r="BV45" i="21"/>
  <c r="BU45" i="21"/>
  <c r="BT45" i="21"/>
  <c r="BS45" i="21"/>
  <c r="AP45" i="21"/>
  <c r="AQ45" i="21"/>
  <c r="AR45" i="21"/>
  <c r="AS45" i="21"/>
  <c r="BL45" i="21"/>
  <c r="BK45" i="21"/>
  <c r="BJ45" i="21"/>
  <c r="BI45" i="21"/>
  <c r="BD45" i="21"/>
  <c r="BE45" i="21"/>
  <c r="BF45" i="21"/>
  <c r="BG45" i="21"/>
  <c r="AW45" i="21"/>
  <c r="AV45" i="21"/>
  <c r="AU45" i="21"/>
  <c r="AI45" i="21"/>
  <c r="AH45" i="21"/>
  <c r="AG45" i="21"/>
  <c r="Z40" i="21"/>
  <c r="Z41" i="21"/>
  <c r="Z42" i="21"/>
  <c r="Z45" i="21"/>
  <c r="Y45" i="21"/>
  <c r="X45" i="21"/>
  <c r="W45" i="21"/>
  <c r="N45" i="21"/>
  <c r="M45" i="21"/>
  <c r="L45" i="21"/>
  <c r="G44" i="21"/>
  <c r="H44" i="21"/>
  <c r="I44" i="21"/>
  <c r="J44" i="21"/>
  <c r="BL44" i="21"/>
  <c r="BK44" i="21"/>
  <c r="BJ44" i="21"/>
  <c r="BI44" i="21"/>
  <c r="CF42" i="21"/>
  <c r="CA42" i="21"/>
  <c r="BZ42" i="21"/>
  <c r="BY42" i="21"/>
  <c r="BX42" i="21"/>
  <c r="BQ42" i="21"/>
  <c r="BV42" i="21"/>
  <c r="BU42" i="21"/>
  <c r="BT42" i="21"/>
  <c r="BS42" i="21"/>
  <c r="AS42" i="21"/>
  <c r="BL42" i="21"/>
  <c r="BK42" i="21"/>
  <c r="BJ42" i="21"/>
  <c r="BI42" i="21"/>
  <c r="BG42" i="21"/>
  <c r="AW42" i="21"/>
  <c r="AV42" i="21"/>
  <c r="AU42" i="21"/>
  <c r="CF41" i="21"/>
  <c r="CA41" i="21"/>
  <c r="BZ41" i="21"/>
  <c r="BQ41" i="21"/>
  <c r="BV41" i="21"/>
  <c r="BU41" i="21"/>
  <c r="BL41" i="21"/>
  <c r="BK41" i="21"/>
  <c r="CF40" i="21"/>
  <c r="CA40" i="21"/>
  <c r="BZ40" i="21"/>
  <c r="BQ40" i="21"/>
  <c r="BV40" i="21"/>
  <c r="BU40" i="21"/>
  <c r="BL40" i="21"/>
  <c r="BK40" i="21"/>
  <c r="CF39" i="21"/>
  <c r="J39" i="21"/>
  <c r="CA39" i="21"/>
  <c r="BY39" i="21"/>
  <c r="BX39" i="21"/>
  <c r="BQ39" i="21"/>
  <c r="BV39" i="21"/>
  <c r="BT39" i="21"/>
  <c r="BS39" i="21"/>
  <c r="Z39" i="21"/>
  <c r="S39" i="21"/>
  <c r="CF38" i="21"/>
  <c r="J38" i="21"/>
  <c r="CA38" i="21"/>
  <c r="BZ38" i="21"/>
  <c r="BY38" i="21"/>
  <c r="BX38" i="21"/>
  <c r="BQ38" i="21"/>
  <c r="BV38" i="21"/>
  <c r="BU38" i="21"/>
  <c r="BT38" i="21"/>
  <c r="BS38" i="21"/>
  <c r="Z38" i="21"/>
  <c r="S38" i="21"/>
  <c r="CF37" i="21"/>
  <c r="J37" i="21"/>
  <c r="CA37" i="21"/>
  <c r="BZ37" i="21"/>
  <c r="BY37" i="21"/>
  <c r="BX37" i="21"/>
  <c r="BQ37" i="21"/>
  <c r="BV37" i="21"/>
  <c r="BU37" i="21"/>
  <c r="BT37" i="21"/>
  <c r="BS37" i="21"/>
  <c r="Z37" i="21"/>
  <c r="S37" i="21"/>
  <c r="CF36" i="21"/>
  <c r="J36" i="21"/>
  <c r="CA36" i="21"/>
  <c r="BZ36" i="21"/>
  <c r="BY36" i="21"/>
  <c r="BX36" i="21"/>
  <c r="BQ36" i="21"/>
  <c r="BV36" i="21"/>
  <c r="BU36" i="21"/>
  <c r="BT36" i="21"/>
  <c r="BS36" i="21"/>
  <c r="AE36" i="21"/>
  <c r="BL36" i="21"/>
  <c r="BK36" i="21"/>
  <c r="BJ36" i="21"/>
  <c r="BI36" i="21"/>
  <c r="AN36" i="21"/>
  <c r="Z36" i="21"/>
  <c r="S36" i="21"/>
  <c r="CF35" i="21"/>
  <c r="J35" i="21"/>
  <c r="CA35" i="21"/>
  <c r="BZ35" i="21"/>
  <c r="BY35" i="21"/>
  <c r="BX35" i="21"/>
  <c r="BQ35" i="21"/>
  <c r="BV35" i="21"/>
  <c r="BU35" i="21"/>
  <c r="BT35" i="21"/>
  <c r="BS35" i="21"/>
  <c r="AS35" i="21"/>
  <c r="AE35" i="21"/>
  <c r="BL35" i="21"/>
  <c r="BK35" i="21"/>
  <c r="BJ35" i="21"/>
  <c r="BI35" i="21"/>
  <c r="BG35" i="21"/>
  <c r="AW35" i="21"/>
  <c r="AV35" i="21"/>
  <c r="AU35" i="21"/>
  <c r="AN35" i="21"/>
  <c r="Z35" i="21"/>
  <c r="S35" i="21"/>
  <c r="CF34" i="21"/>
  <c r="J34" i="21"/>
  <c r="CA34" i="21"/>
  <c r="BZ34" i="21"/>
  <c r="BY34" i="21"/>
  <c r="BX34" i="21"/>
  <c r="BQ34" i="21"/>
  <c r="BV34" i="21"/>
  <c r="BU34" i="21"/>
  <c r="BT34" i="21"/>
  <c r="BS34" i="21"/>
  <c r="AS34" i="21"/>
  <c r="AE34" i="21"/>
  <c r="BL34" i="21"/>
  <c r="BK34" i="21"/>
  <c r="BJ34" i="21"/>
  <c r="BI34" i="21"/>
  <c r="BG34" i="21"/>
  <c r="AW34" i="21"/>
  <c r="AV34" i="21"/>
  <c r="AU34" i="21"/>
  <c r="AN34" i="21"/>
  <c r="Z34" i="21"/>
  <c r="S34" i="21"/>
  <c r="CF33" i="21"/>
  <c r="J33" i="21"/>
  <c r="CA33" i="21"/>
  <c r="BZ33" i="21"/>
  <c r="BY33" i="21"/>
  <c r="BX33" i="21"/>
  <c r="BQ33" i="21"/>
  <c r="BV33" i="21"/>
  <c r="BU33" i="21"/>
  <c r="BT33" i="21"/>
  <c r="BS33" i="21"/>
  <c r="AS33" i="21"/>
  <c r="AE33" i="21"/>
  <c r="BL33" i="21"/>
  <c r="BK33" i="21"/>
  <c r="BJ33" i="21"/>
  <c r="BI33" i="21"/>
  <c r="BG33" i="21"/>
  <c r="AW33" i="21"/>
  <c r="AV33" i="21"/>
  <c r="AU33" i="21"/>
  <c r="AN33" i="21"/>
  <c r="Z33" i="21"/>
  <c r="S33" i="21"/>
  <c r="CF32" i="21"/>
  <c r="J32" i="21"/>
  <c r="CA32" i="21"/>
  <c r="BZ32" i="21"/>
  <c r="BY32" i="21"/>
  <c r="BX32" i="21"/>
  <c r="BQ32" i="21"/>
  <c r="BV32" i="21"/>
  <c r="BU32" i="21"/>
  <c r="BT32" i="21"/>
  <c r="BS32" i="21"/>
  <c r="AS32" i="21"/>
  <c r="AE32" i="21"/>
  <c r="BL32" i="21"/>
  <c r="BK32" i="21"/>
  <c r="BJ32" i="21"/>
  <c r="BI32" i="21"/>
  <c r="BG32" i="21"/>
  <c r="AW32" i="21"/>
  <c r="AV32" i="21"/>
  <c r="AU32" i="21"/>
  <c r="AN32" i="21"/>
  <c r="Z32" i="21"/>
  <c r="S32" i="21"/>
  <c r="CF31" i="21"/>
  <c r="J31" i="21"/>
  <c r="CA31" i="21"/>
  <c r="BZ31" i="21"/>
  <c r="BY31" i="21"/>
  <c r="BX31" i="21"/>
  <c r="BQ31" i="21"/>
  <c r="BV31" i="21"/>
  <c r="BU31" i="21"/>
  <c r="BT31" i="21"/>
  <c r="BS31" i="21"/>
  <c r="AS31" i="21"/>
  <c r="AE31" i="21"/>
  <c r="BL31" i="21"/>
  <c r="BK31" i="21"/>
  <c r="BJ31" i="21"/>
  <c r="BI31" i="21"/>
  <c r="BG31" i="21"/>
  <c r="AW31" i="21"/>
  <c r="AV31" i="21"/>
  <c r="AU31" i="21"/>
  <c r="AN31" i="21"/>
  <c r="Z31" i="21"/>
  <c r="S31" i="21"/>
  <c r="CF30" i="21"/>
  <c r="J30" i="21"/>
  <c r="CA30" i="21"/>
  <c r="BZ30" i="21"/>
  <c r="BY30" i="21"/>
  <c r="BX30" i="21"/>
  <c r="BQ30" i="21"/>
  <c r="BV30" i="21"/>
  <c r="BU30" i="21"/>
  <c r="BT30" i="21"/>
  <c r="BS30" i="21"/>
  <c r="AS30" i="21"/>
  <c r="BL30" i="21"/>
  <c r="BK30" i="21"/>
  <c r="BJ30" i="21"/>
  <c r="BI30" i="21"/>
  <c r="BG30" i="21"/>
  <c r="AW30" i="21"/>
  <c r="AV30" i="21"/>
  <c r="AU30" i="21"/>
  <c r="Z30" i="21"/>
  <c r="S30" i="21"/>
  <c r="CF29" i="21"/>
  <c r="BQ29" i="21"/>
  <c r="AS29" i="21"/>
  <c r="AE29" i="21"/>
  <c r="J29" i="21"/>
  <c r="BL29" i="21"/>
  <c r="BK29" i="21"/>
  <c r="BJ29" i="21"/>
  <c r="BI29" i="21"/>
  <c r="BG29" i="21"/>
  <c r="AN29" i="21"/>
  <c r="AI29" i="21"/>
  <c r="AH29" i="21"/>
  <c r="AG29" i="21"/>
  <c r="S29" i="21"/>
  <c r="N29" i="21"/>
  <c r="M29" i="21"/>
  <c r="L29" i="21"/>
  <c r="AS28" i="21"/>
  <c r="AP27" i="21"/>
  <c r="AQ27" i="21"/>
  <c r="AR27" i="21"/>
  <c r="AS27" i="21"/>
  <c r="CF26" i="21"/>
  <c r="CA26" i="21"/>
  <c r="BY26" i="21"/>
  <c r="BQ26" i="21"/>
  <c r="BV26" i="21"/>
  <c r="BT26" i="21"/>
  <c r="AV26" i="21"/>
  <c r="AS26" i="21"/>
  <c r="AR26" i="21"/>
  <c r="CF25" i="21"/>
  <c r="J25" i="21"/>
  <c r="CA25" i="21"/>
  <c r="BY25" i="21"/>
  <c r="BX25" i="21"/>
  <c r="BQ25" i="21"/>
  <c r="BV25" i="21"/>
  <c r="BT25" i="21"/>
  <c r="BS25" i="21"/>
  <c r="AS25" i="21"/>
  <c r="S25" i="21"/>
  <c r="CF24" i="21"/>
  <c r="J24" i="21"/>
  <c r="CA24" i="21"/>
  <c r="BZ24" i="21"/>
  <c r="BY24" i="21"/>
  <c r="BX24" i="21"/>
  <c r="BQ24" i="21"/>
  <c r="BV24" i="21"/>
  <c r="BU24" i="21"/>
  <c r="BT24" i="21"/>
  <c r="BS24" i="21"/>
  <c r="AS24" i="21"/>
  <c r="S24" i="21"/>
  <c r="CF23" i="21"/>
  <c r="J23" i="21"/>
  <c r="CA23" i="21"/>
  <c r="BZ23" i="21"/>
  <c r="BY23" i="21"/>
  <c r="BX23" i="21"/>
  <c r="BQ23" i="21"/>
  <c r="BV23" i="21"/>
  <c r="BU23" i="21"/>
  <c r="BT23" i="21"/>
  <c r="BS23" i="21"/>
  <c r="AS23" i="21"/>
  <c r="S23" i="21"/>
  <c r="CF22" i="21"/>
  <c r="J22" i="21"/>
  <c r="CA22" i="21"/>
  <c r="BZ22" i="21"/>
  <c r="BY22" i="21"/>
  <c r="BX22" i="21"/>
  <c r="BQ22" i="21"/>
  <c r="BV22" i="21"/>
  <c r="BU22" i="21"/>
  <c r="BT22" i="21"/>
  <c r="BS22" i="21"/>
  <c r="AS22" i="21"/>
  <c r="AE22" i="21"/>
  <c r="BL22" i="21"/>
  <c r="BK22" i="21"/>
  <c r="BJ22" i="21"/>
  <c r="BI22" i="21"/>
  <c r="AN22" i="21"/>
  <c r="S22" i="21"/>
  <c r="CF21" i="21"/>
  <c r="J21" i="21"/>
  <c r="CA21" i="21"/>
  <c r="BZ21" i="21"/>
  <c r="BY21" i="21"/>
  <c r="BX21" i="21"/>
  <c r="BQ21" i="21"/>
  <c r="BV21" i="21"/>
  <c r="BU21" i="21"/>
  <c r="BT21" i="21"/>
  <c r="BS21" i="21"/>
  <c r="AS21" i="21"/>
  <c r="AE21" i="21"/>
  <c r="BL21" i="21"/>
  <c r="BK21" i="21"/>
  <c r="BJ21" i="21"/>
  <c r="BI21" i="21"/>
  <c r="BG21" i="21"/>
  <c r="AW21" i="21"/>
  <c r="AV21" i="21"/>
  <c r="AU21" i="21"/>
  <c r="AN21" i="21"/>
  <c r="S21" i="21"/>
  <c r="CF20" i="21"/>
  <c r="J20" i="21"/>
  <c r="CA20" i="21"/>
  <c r="BZ20" i="21"/>
  <c r="BY20" i="21"/>
  <c r="BX20" i="21"/>
  <c r="BQ20" i="21"/>
  <c r="BV20" i="21"/>
  <c r="BU20" i="21"/>
  <c r="BT20" i="21"/>
  <c r="BS20" i="21"/>
  <c r="AS20" i="21"/>
  <c r="AE20" i="21"/>
  <c r="BL20" i="21"/>
  <c r="BK20" i="21"/>
  <c r="BJ20" i="21"/>
  <c r="BI20" i="21"/>
  <c r="BG20" i="21"/>
  <c r="AW20" i="21"/>
  <c r="AV20" i="21"/>
  <c r="AU20" i="21"/>
  <c r="AN20" i="21"/>
  <c r="S20" i="21"/>
  <c r="CF19" i="21"/>
  <c r="J19" i="21"/>
  <c r="CA19" i="21"/>
  <c r="BZ19" i="21"/>
  <c r="BY19" i="21"/>
  <c r="BX19" i="21"/>
  <c r="BQ19" i="21"/>
  <c r="BV19" i="21"/>
  <c r="BU19" i="21"/>
  <c r="BT19" i="21"/>
  <c r="BS19" i="21"/>
  <c r="AS19" i="21"/>
  <c r="AE19" i="21"/>
  <c r="BL19" i="21"/>
  <c r="BK19" i="21"/>
  <c r="BJ19" i="21"/>
  <c r="BI19" i="21"/>
  <c r="BG19" i="21"/>
  <c r="AW19" i="21"/>
  <c r="AV19" i="21"/>
  <c r="AU19" i="21"/>
  <c r="AN19" i="21"/>
  <c r="S19" i="21"/>
  <c r="CF18" i="21"/>
  <c r="J18" i="21"/>
  <c r="CA18" i="21"/>
  <c r="BZ18" i="21"/>
  <c r="BY18" i="21"/>
  <c r="BX18" i="21"/>
  <c r="BQ18" i="21"/>
  <c r="BV18" i="21"/>
  <c r="BU18" i="21"/>
  <c r="BT18" i="21"/>
  <c r="BS18" i="21"/>
  <c r="AS18" i="21"/>
  <c r="AE18" i="21"/>
  <c r="BL18" i="21"/>
  <c r="BK18" i="21"/>
  <c r="BJ18" i="21"/>
  <c r="BI18" i="21"/>
  <c r="BG18" i="21"/>
  <c r="AW18" i="21"/>
  <c r="AV18" i="21"/>
  <c r="AU18" i="21"/>
  <c r="AN18" i="21"/>
  <c r="S18" i="21"/>
  <c r="CF17" i="21"/>
  <c r="J17" i="21"/>
  <c r="CA17" i="21"/>
  <c r="BZ17" i="21"/>
  <c r="BY17" i="21"/>
  <c r="BX17" i="21"/>
  <c r="BQ17" i="21"/>
  <c r="BV17" i="21"/>
  <c r="BU17" i="21"/>
  <c r="BT17" i="21"/>
  <c r="BS17" i="21"/>
  <c r="AS17" i="21"/>
  <c r="AE17" i="21"/>
  <c r="BL17" i="21"/>
  <c r="BK17" i="21"/>
  <c r="BJ17" i="21"/>
  <c r="BI17" i="21"/>
  <c r="BG17" i="21"/>
  <c r="AW17" i="21"/>
  <c r="AV17" i="21"/>
  <c r="AU17" i="21"/>
  <c r="AN17" i="21"/>
  <c r="S17" i="21"/>
  <c r="CF16" i="21"/>
  <c r="J16" i="21"/>
  <c r="CA16" i="21"/>
  <c r="BZ16" i="21"/>
  <c r="BY16" i="21"/>
  <c r="BX16" i="21"/>
  <c r="BQ16" i="21"/>
  <c r="BV16" i="21"/>
  <c r="BU16" i="21"/>
  <c r="BT16" i="21"/>
  <c r="BS16" i="21"/>
  <c r="AS16" i="21"/>
  <c r="BL16" i="21"/>
  <c r="BK16" i="21"/>
  <c r="BJ16" i="21"/>
  <c r="BI16" i="21"/>
  <c r="BG16" i="21"/>
  <c r="AW16" i="21"/>
  <c r="AV16" i="21"/>
  <c r="AU16" i="21"/>
  <c r="S16" i="21"/>
  <c r="CF15" i="21"/>
  <c r="J15" i="21"/>
  <c r="CA15" i="21"/>
  <c r="BZ15" i="21"/>
  <c r="BY15" i="21"/>
  <c r="BX15" i="21"/>
  <c r="BQ15" i="21"/>
  <c r="BV15" i="21"/>
  <c r="BU15" i="21"/>
  <c r="BT15" i="21"/>
  <c r="BS15" i="21"/>
  <c r="AS15" i="21"/>
  <c r="AE15" i="21"/>
  <c r="BL15" i="21"/>
  <c r="BK15" i="21"/>
  <c r="BJ15" i="21"/>
  <c r="BI15" i="21"/>
  <c r="BG15" i="21"/>
  <c r="AN15" i="21"/>
  <c r="AI15" i="21"/>
  <c r="AH15" i="21"/>
  <c r="AG15" i="21"/>
  <c r="S15" i="21"/>
  <c r="N15" i="21"/>
  <c r="M15" i="21"/>
  <c r="L15" i="21"/>
  <c r="Z4" i="21"/>
  <c r="Y4" i="21"/>
  <c r="X4" i="21"/>
  <c r="W4" i="21"/>
  <c r="BQ3" i="21"/>
  <c r="BP3" i="21"/>
  <c r="BO3" i="21"/>
  <c r="BN3" i="21"/>
  <c r="G24" i="15"/>
  <c r="AH12" i="15"/>
  <c r="AR12" i="15"/>
  <c r="AH13" i="15"/>
  <c r="AR13" i="15"/>
  <c r="AH14" i="15"/>
  <c r="AR14" i="15"/>
  <c r="AH15" i="15"/>
  <c r="AR15" i="15"/>
  <c r="AH16" i="15"/>
  <c r="AR16" i="15"/>
  <c r="AH17" i="15"/>
  <c r="AR17" i="15"/>
  <c r="AH18" i="15"/>
  <c r="AR18" i="15"/>
  <c r="AH19" i="15"/>
  <c r="AR19" i="15"/>
  <c r="AH20" i="15"/>
  <c r="AR20" i="15"/>
  <c r="AR11" i="15"/>
  <c r="X25" i="15"/>
  <c r="AH25" i="15"/>
  <c r="AR25" i="15"/>
  <c r="X26" i="15"/>
  <c r="AH26" i="15"/>
  <c r="AR26" i="15"/>
  <c r="X27" i="15"/>
  <c r="AH27" i="15"/>
  <c r="AR27" i="15"/>
  <c r="X28" i="15"/>
  <c r="AH28" i="15"/>
  <c r="AR28" i="15"/>
  <c r="X29" i="15"/>
  <c r="I29" i="15"/>
  <c r="AH29" i="15"/>
  <c r="I30" i="15"/>
  <c r="AH30" i="15"/>
  <c r="I31" i="15"/>
  <c r="AH31" i="15"/>
  <c r="I32" i="15"/>
  <c r="AH32" i="15"/>
  <c r="AR29" i="15"/>
  <c r="X34" i="15"/>
  <c r="AH34" i="15"/>
  <c r="AR34" i="15"/>
  <c r="X35" i="15"/>
  <c r="AR35" i="15"/>
  <c r="X36" i="15"/>
  <c r="AH36" i="15"/>
  <c r="AR36" i="15"/>
  <c r="X37" i="15"/>
  <c r="AH37" i="15"/>
  <c r="AR37" i="15"/>
  <c r="X39" i="15"/>
  <c r="AR39" i="15"/>
  <c r="X40" i="15"/>
  <c r="AR40" i="15"/>
  <c r="X41" i="15"/>
  <c r="AR41" i="15"/>
  <c r="AR24" i="15"/>
  <c r="AR46" i="15"/>
  <c r="AM46" i="15"/>
  <c r="AF12" i="15"/>
  <c r="AP12" i="15"/>
  <c r="AF13" i="15"/>
  <c r="AP13" i="15"/>
  <c r="AF14" i="15"/>
  <c r="AP14" i="15"/>
  <c r="AF15" i="15"/>
  <c r="AP15" i="15"/>
  <c r="AF16" i="15"/>
  <c r="AP16" i="15"/>
  <c r="AF17" i="15"/>
  <c r="AF18" i="15"/>
  <c r="AP18" i="15"/>
  <c r="AF19" i="15"/>
  <c r="AP19" i="15"/>
  <c r="AF20" i="15"/>
  <c r="AP20" i="15"/>
  <c r="AP21" i="15"/>
  <c r="V25" i="15"/>
  <c r="AF25" i="15"/>
  <c r="AP25" i="15"/>
  <c r="V26" i="15"/>
  <c r="AF26" i="15"/>
  <c r="AP26" i="15"/>
  <c r="V27" i="15"/>
  <c r="AF27" i="15"/>
  <c r="AP27" i="15"/>
  <c r="V28" i="15"/>
  <c r="AF28" i="15"/>
  <c r="AP28" i="15"/>
  <c r="V29" i="15"/>
  <c r="AF29" i="15"/>
  <c r="AF30" i="15"/>
  <c r="AF31" i="15"/>
  <c r="AF32" i="15"/>
  <c r="AP29" i="15"/>
  <c r="V34" i="15"/>
  <c r="AF34" i="15"/>
  <c r="AP34" i="15"/>
  <c r="V35" i="15"/>
  <c r="AP35" i="15"/>
  <c r="V36" i="15"/>
  <c r="AF36" i="15"/>
  <c r="AP36" i="15"/>
  <c r="V37" i="15"/>
  <c r="AF37" i="15"/>
  <c r="AP37" i="15"/>
  <c r="V38" i="15"/>
  <c r="AP38" i="15"/>
  <c r="V41" i="15"/>
  <c r="AP41" i="15"/>
  <c r="AP24" i="15"/>
  <c r="AG12" i="15"/>
  <c r="AQ12" i="15"/>
  <c r="AG13" i="15"/>
  <c r="AQ13" i="15"/>
  <c r="AG14" i="15"/>
  <c r="AQ14" i="15"/>
  <c r="AG15" i="15"/>
  <c r="AQ15" i="15"/>
  <c r="AG16" i="15"/>
  <c r="AQ16" i="15"/>
  <c r="AG17" i="15"/>
  <c r="AQ17" i="15"/>
  <c r="AG18" i="15"/>
  <c r="AQ18" i="15"/>
  <c r="AG19" i="15"/>
  <c r="AQ19" i="15"/>
  <c r="AG20" i="15"/>
  <c r="AQ20" i="15"/>
  <c r="AQ21" i="15"/>
  <c r="AQ22" i="15"/>
  <c r="AQ11" i="15"/>
  <c r="W25" i="15"/>
  <c r="AG25" i="15"/>
  <c r="AQ25" i="15"/>
  <c r="W26" i="15"/>
  <c r="AG26" i="15"/>
  <c r="AQ26" i="15"/>
  <c r="W27" i="15"/>
  <c r="AG27" i="15"/>
  <c r="AQ27" i="15"/>
  <c r="W28" i="15"/>
  <c r="AG28" i="15"/>
  <c r="AQ28" i="15"/>
  <c r="W29" i="15"/>
  <c r="H29" i="15"/>
  <c r="AG29" i="15"/>
  <c r="H30" i="15"/>
  <c r="AG30" i="15"/>
  <c r="H31" i="15"/>
  <c r="AG31" i="15"/>
  <c r="H32" i="15"/>
  <c r="AG32" i="15"/>
  <c r="AG33" i="15"/>
  <c r="AQ29" i="15"/>
  <c r="W34" i="15"/>
  <c r="AG34" i="15"/>
  <c r="AQ34" i="15"/>
  <c r="W35" i="15"/>
  <c r="AQ35" i="15"/>
  <c r="W36" i="15"/>
  <c r="AG36" i="15"/>
  <c r="AQ36" i="15"/>
  <c r="W37" i="15"/>
  <c r="AG37" i="15"/>
  <c r="AQ37" i="15"/>
  <c r="W38" i="15"/>
  <c r="AQ38" i="15"/>
  <c r="W41" i="15"/>
  <c r="AQ41" i="15"/>
  <c r="AQ24" i="15"/>
  <c r="AQ46" i="15"/>
  <c r="AR45" i="15"/>
  <c r="AM45" i="15"/>
  <c r="AQ45" i="15"/>
  <c r="AF11" i="15"/>
  <c r="AF24" i="15"/>
  <c r="AF44" i="15"/>
  <c r="AF46" i="15"/>
  <c r="AG11" i="15"/>
  <c r="AG24" i="15"/>
  <c r="AG44" i="15"/>
  <c r="AG46" i="15"/>
  <c r="AH11" i="15"/>
  <c r="AH24" i="15"/>
  <c r="AH44" i="15"/>
  <c r="AH46" i="15"/>
  <c r="AI46" i="15"/>
  <c r="AS46" i="15"/>
  <c r="AI50" i="15"/>
  <c r="AH50" i="15"/>
  <c r="AG50" i="15"/>
  <c r="AF50" i="15"/>
  <c r="H50" i="15"/>
  <c r="M48" i="15"/>
  <c r="M49" i="15"/>
  <c r="M50" i="15"/>
  <c r="AF45" i="15"/>
  <c r="AG45" i="15"/>
  <c r="AH45" i="15"/>
  <c r="AI45" i="15"/>
  <c r="AS45" i="15"/>
  <c r="AI49" i="15"/>
  <c r="AH49" i="15"/>
  <c r="AG49" i="15"/>
  <c r="AF49" i="15"/>
  <c r="V11" i="15"/>
  <c r="V24" i="15"/>
  <c r="V46" i="15"/>
  <c r="W11" i="15"/>
  <c r="W24" i="15"/>
  <c r="W46" i="15"/>
  <c r="X11" i="15"/>
  <c r="X24" i="15"/>
  <c r="X46" i="15"/>
  <c r="Y46" i="15"/>
  <c r="Y49" i="15"/>
  <c r="X49" i="15"/>
  <c r="W49" i="15"/>
  <c r="V49" i="15"/>
  <c r="AS48" i="15"/>
  <c r="L11" i="15"/>
  <c r="M11" i="15"/>
  <c r="N11" i="15"/>
  <c r="O47" i="15"/>
  <c r="N47" i="15"/>
  <c r="M47" i="15"/>
  <c r="L47" i="15"/>
  <c r="J47" i="15"/>
  <c r="I47" i="15"/>
  <c r="H47" i="15"/>
  <c r="G47" i="15"/>
  <c r="AN46" i="15"/>
  <c r="AL46" i="15"/>
  <c r="AK46" i="15"/>
  <c r="AD46" i="15"/>
  <c r="AC46" i="15"/>
  <c r="AB46" i="15"/>
  <c r="AA46" i="15"/>
  <c r="T46" i="15"/>
  <c r="S46" i="15"/>
  <c r="R46" i="15"/>
  <c r="Q46" i="15"/>
  <c r="AN45" i="15"/>
  <c r="AL45" i="15"/>
  <c r="AK45" i="15"/>
  <c r="AD45" i="15"/>
  <c r="AC45" i="15"/>
  <c r="AB45" i="15"/>
  <c r="AA45" i="15"/>
  <c r="V45" i="15"/>
  <c r="W45" i="15"/>
  <c r="X45" i="15"/>
  <c r="Y45" i="15"/>
  <c r="T45" i="15"/>
  <c r="S45" i="15"/>
  <c r="R45" i="15"/>
  <c r="Q45" i="15"/>
  <c r="AI44" i="15"/>
  <c r="J21" i="15"/>
  <c r="J22" i="15"/>
  <c r="J38" i="15"/>
  <c r="J39" i="15"/>
  <c r="J40" i="15"/>
  <c r="J41" i="15"/>
  <c r="J44" i="15"/>
  <c r="AD44" i="15"/>
  <c r="I44" i="15"/>
  <c r="AC44" i="15"/>
  <c r="H44" i="15"/>
  <c r="AB44" i="15"/>
  <c r="G44" i="15"/>
  <c r="AA44" i="15"/>
  <c r="AS43" i="15"/>
  <c r="AR43" i="15"/>
  <c r="AQ43" i="15"/>
  <c r="AP43" i="15"/>
  <c r="AS41" i="15"/>
  <c r="AN41" i="15"/>
  <c r="AM41" i="15"/>
  <c r="AL41" i="15"/>
  <c r="AK41" i="15"/>
  <c r="T41" i="15"/>
  <c r="S41" i="15"/>
  <c r="R41" i="15"/>
  <c r="Q41" i="15"/>
  <c r="O41" i="15"/>
  <c r="AS40" i="15"/>
  <c r="AN40" i="15"/>
  <c r="AM40" i="15"/>
  <c r="Y40" i="15"/>
  <c r="T40" i="15"/>
  <c r="S40" i="15"/>
  <c r="O40" i="15"/>
  <c r="AS39" i="15"/>
  <c r="AN39" i="15"/>
  <c r="AM39" i="15"/>
  <c r="Y39" i="15"/>
  <c r="T39" i="15"/>
  <c r="S39" i="15"/>
  <c r="O39" i="15"/>
  <c r="AS38" i="15"/>
  <c r="AN38" i="15"/>
  <c r="AL38" i="15"/>
  <c r="AK38" i="15"/>
  <c r="Y38" i="15"/>
  <c r="T38" i="15"/>
  <c r="R38" i="15"/>
  <c r="Q38" i="15"/>
  <c r="O38" i="15"/>
  <c r="AS37" i="15"/>
  <c r="J37" i="15"/>
  <c r="AN37" i="15"/>
  <c r="AM37" i="15"/>
  <c r="AL37" i="15"/>
  <c r="AK37" i="15"/>
  <c r="AI37" i="15"/>
  <c r="Y37" i="15"/>
  <c r="T37" i="15"/>
  <c r="S37" i="15"/>
  <c r="R37" i="15"/>
  <c r="Q37" i="15"/>
  <c r="O37" i="15"/>
  <c r="AS36" i="15"/>
  <c r="J36" i="15"/>
  <c r="AN36" i="15"/>
  <c r="AM36" i="15"/>
  <c r="AL36" i="15"/>
  <c r="AK36" i="15"/>
  <c r="AI36" i="15"/>
  <c r="Y36" i="15"/>
  <c r="T36" i="15"/>
  <c r="S36" i="15"/>
  <c r="R36" i="15"/>
  <c r="Q36" i="15"/>
  <c r="O36" i="15"/>
  <c r="AS35" i="15"/>
  <c r="J35" i="15"/>
  <c r="AN35" i="15"/>
  <c r="AM35" i="15"/>
  <c r="AL35" i="15"/>
  <c r="AK35" i="15"/>
  <c r="Y35" i="15"/>
  <c r="T35" i="15"/>
  <c r="S35" i="15"/>
  <c r="R35" i="15"/>
  <c r="Q35" i="15"/>
  <c r="O35" i="15"/>
  <c r="AS34" i="15"/>
  <c r="J34" i="15"/>
  <c r="AN34" i="15"/>
  <c r="AM34" i="15"/>
  <c r="AL34" i="15"/>
  <c r="AK34" i="15"/>
  <c r="AI34" i="15"/>
  <c r="Y34" i="15"/>
  <c r="T34" i="15"/>
  <c r="S34" i="15"/>
  <c r="R34" i="15"/>
  <c r="Q34" i="15"/>
  <c r="O34" i="15"/>
  <c r="AI33" i="15"/>
  <c r="J33" i="15"/>
  <c r="AI32" i="15"/>
  <c r="J32" i="15"/>
  <c r="AI31" i="15"/>
  <c r="J31" i="15"/>
  <c r="AI30" i="15"/>
  <c r="J30" i="15"/>
  <c r="Y29" i="15"/>
  <c r="AI29" i="15"/>
  <c r="AS29" i="15"/>
  <c r="J29" i="15"/>
  <c r="AN29" i="15"/>
  <c r="AM29" i="15"/>
  <c r="AL29" i="15"/>
  <c r="AK29" i="15"/>
  <c r="O29" i="15"/>
  <c r="AS28" i="15"/>
  <c r="J28" i="15"/>
  <c r="AN28" i="15"/>
  <c r="AM28" i="15"/>
  <c r="AL28" i="15"/>
  <c r="AK28" i="15"/>
  <c r="AI28" i="15"/>
  <c r="Y28" i="15"/>
  <c r="T28" i="15"/>
  <c r="S28" i="15"/>
  <c r="R28" i="15"/>
  <c r="Q28" i="15"/>
  <c r="O28" i="15"/>
  <c r="AS27" i="15"/>
  <c r="J27" i="15"/>
  <c r="AN27" i="15"/>
  <c r="AM27" i="15"/>
  <c r="AL27" i="15"/>
  <c r="AK27" i="15"/>
  <c r="AI27" i="15"/>
  <c r="Y27" i="15"/>
  <c r="T27" i="15"/>
  <c r="S27" i="15"/>
  <c r="R27" i="15"/>
  <c r="Q27" i="15"/>
  <c r="O27" i="15"/>
  <c r="AS26" i="15"/>
  <c r="J26" i="15"/>
  <c r="AN26" i="15"/>
  <c r="AM26" i="15"/>
  <c r="AL26" i="15"/>
  <c r="AK26" i="15"/>
  <c r="AI26" i="15"/>
  <c r="Y26" i="15"/>
  <c r="T26" i="15"/>
  <c r="S26" i="15"/>
  <c r="R26" i="15"/>
  <c r="Q26" i="15"/>
  <c r="O26" i="15"/>
  <c r="AS25" i="15"/>
  <c r="J25" i="15"/>
  <c r="AN25" i="15"/>
  <c r="AM25" i="15"/>
  <c r="AL25" i="15"/>
  <c r="AK25" i="15"/>
  <c r="AI25" i="15"/>
  <c r="Y25" i="15"/>
  <c r="T25" i="15"/>
  <c r="S25" i="15"/>
  <c r="R25" i="15"/>
  <c r="Q25" i="15"/>
  <c r="O25" i="15"/>
  <c r="AS24" i="15"/>
  <c r="AN24" i="15"/>
  <c r="AM24" i="15"/>
  <c r="AL24" i="15"/>
  <c r="AK24" i="15"/>
  <c r="AI24" i="15"/>
  <c r="AD24" i="15"/>
  <c r="AC24" i="15"/>
  <c r="AB24" i="15"/>
  <c r="AA24" i="15"/>
  <c r="Y24" i="15"/>
  <c r="T24" i="15"/>
  <c r="S24" i="15"/>
  <c r="R24" i="15"/>
  <c r="Q24" i="15"/>
  <c r="O24" i="15"/>
  <c r="AS22" i="15"/>
  <c r="AN22" i="15"/>
  <c r="AL22" i="15"/>
  <c r="Y22" i="15"/>
  <c r="T22" i="15"/>
  <c r="R22" i="15"/>
  <c r="O22" i="15"/>
  <c r="AS21" i="15"/>
  <c r="AN21" i="15"/>
  <c r="AL21" i="15"/>
  <c r="AK21" i="15"/>
  <c r="Y21" i="15"/>
  <c r="T21" i="15"/>
  <c r="R21" i="15"/>
  <c r="Q21" i="15"/>
  <c r="O21" i="15"/>
  <c r="AS20" i="15"/>
  <c r="J20" i="15"/>
  <c r="AN20" i="15"/>
  <c r="AM20" i="15"/>
  <c r="AL20" i="15"/>
  <c r="AK20" i="15"/>
  <c r="AI20" i="15"/>
  <c r="Y20" i="15"/>
  <c r="T20" i="15"/>
  <c r="S20" i="15"/>
  <c r="R20" i="15"/>
  <c r="Q20" i="15"/>
  <c r="O20" i="15"/>
  <c r="AS19" i="15"/>
  <c r="J19" i="15"/>
  <c r="AN19" i="15"/>
  <c r="AM19" i="15"/>
  <c r="AL19" i="15"/>
  <c r="AK19" i="15"/>
  <c r="AI19" i="15"/>
  <c r="Y19" i="15"/>
  <c r="T19" i="15"/>
  <c r="S19" i="15"/>
  <c r="R19" i="15"/>
  <c r="Q19" i="15"/>
  <c r="O19" i="15"/>
  <c r="AS18" i="15"/>
  <c r="J18" i="15"/>
  <c r="AN18" i="15"/>
  <c r="AM18" i="15"/>
  <c r="AL18" i="15"/>
  <c r="AK18" i="15"/>
  <c r="AI18" i="15"/>
  <c r="Y18" i="15"/>
  <c r="T18" i="15"/>
  <c r="S18" i="15"/>
  <c r="R18" i="15"/>
  <c r="Q18" i="15"/>
  <c r="O18" i="15"/>
  <c r="AS17" i="15"/>
  <c r="J17" i="15"/>
  <c r="AN17" i="15"/>
  <c r="AM17" i="15"/>
  <c r="AL17" i="15"/>
  <c r="AK17" i="15"/>
  <c r="AI17" i="15"/>
  <c r="Y17" i="15"/>
  <c r="T17" i="15"/>
  <c r="S17" i="15"/>
  <c r="R17" i="15"/>
  <c r="Q17" i="15"/>
  <c r="O17" i="15"/>
  <c r="AS16" i="15"/>
  <c r="J16" i="15"/>
  <c r="AN16" i="15"/>
  <c r="AM16" i="15"/>
  <c r="AL16" i="15"/>
  <c r="AK16" i="15"/>
  <c r="AI16" i="15"/>
  <c r="Y16" i="15"/>
  <c r="T16" i="15"/>
  <c r="S16" i="15"/>
  <c r="R16" i="15"/>
  <c r="Q16" i="15"/>
  <c r="O16" i="15"/>
  <c r="AS15" i="15"/>
  <c r="J15" i="15"/>
  <c r="AN15" i="15"/>
  <c r="AM15" i="15"/>
  <c r="AL15" i="15"/>
  <c r="AK15" i="15"/>
  <c r="AI15" i="15"/>
  <c r="Y15" i="15"/>
  <c r="T15" i="15"/>
  <c r="S15" i="15"/>
  <c r="R15" i="15"/>
  <c r="Q15" i="15"/>
  <c r="O15" i="15"/>
  <c r="AS14" i="15"/>
  <c r="J14" i="15"/>
  <c r="AN14" i="15"/>
  <c r="AM14" i="15"/>
  <c r="AL14" i="15"/>
  <c r="AK14" i="15"/>
  <c r="AI14" i="15"/>
  <c r="Y14" i="15"/>
  <c r="T14" i="15"/>
  <c r="S14" i="15"/>
  <c r="R14" i="15"/>
  <c r="Q14" i="15"/>
  <c r="O14" i="15"/>
  <c r="AS13" i="15"/>
  <c r="J13" i="15"/>
  <c r="AN13" i="15"/>
  <c r="AM13" i="15"/>
  <c r="AL13" i="15"/>
  <c r="AK13" i="15"/>
  <c r="AI13" i="15"/>
  <c r="Y13" i="15"/>
  <c r="T13" i="15"/>
  <c r="S13" i="15"/>
  <c r="R13" i="15"/>
  <c r="Q13" i="15"/>
  <c r="O13" i="15"/>
  <c r="AS12" i="15"/>
  <c r="J12" i="15"/>
  <c r="AN12" i="15"/>
  <c r="AM12" i="15"/>
  <c r="AL12" i="15"/>
  <c r="AK12" i="15"/>
  <c r="AI12" i="15"/>
  <c r="Y12" i="15"/>
  <c r="T12" i="15"/>
  <c r="S12" i="15"/>
  <c r="R12" i="15"/>
  <c r="Q12" i="15"/>
  <c r="O12" i="15"/>
  <c r="AS11" i="15"/>
  <c r="AN11" i="15"/>
  <c r="AM11" i="15"/>
  <c r="AL11" i="15"/>
  <c r="AK11" i="15"/>
  <c r="AI11" i="15"/>
  <c r="AD11" i="15"/>
  <c r="AC11" i="15"/>
  <c r="AB11" i="15"/>
  <c r="AA11" i="15"/>
  <c r="Y11" i="15"/>
  <c r="T11" i="15"/>
  <c r="S11" i="15"/>
  <c r="R11" i="15"/>
  <c r="Q11" i="15"/>
  <c r="O11" i="15"/>
  <c r="AI2" i="15"/>
  <c r="AH2" i="15"/>
  <c r="AG2" i="15"/>
  <c r="AF2" i="15"/>
  <c r="J2" i="15"/>
  <c r="AD2" i="15"/>
  <c r="I2" i="15"/>
  <c r="AC2" i="15"/>
  <c r="H2" i="15"/>
  <c r="AB2" i="15"/>
  <c r="G2" i="15"/>
  <c r="AA2" i="15"/>
  <c r="Y2" i="15"/>
  <c r="X2" i="15"/>
  <c r="W2" i="15"/>
  <c r="V2" i="15"/>
  <c r="O2" i="15"/>
  <c r="N2" i="15"/>
  <c r="M2" i="15"/>
  <c r="L2" i="15"/>
  <c r="U44" i="17"/>
  <c r="R44" i="17"/>
  <c r="O10" i="17"/>
  <c r="O11" i="17"/>
  <c r="O12" i="17"/>
  <c r="O13" i="17"/>
  <c r="O14" i="17"/>
  <c r="O15" i="17"/>
  <c r="O16" i="17"/>
  <c r="O17" i="17"/>
  <c r="O18" i="17"/>
  <c r="O19" i="17"/>
  <c r="O20" i="17"/>
  <c r="O21" i="17"/>
  <c r="O22" i="17"/>
  <c r="O23" i="17"/>
  <c r="O24" i="17"/>
  <c r="O25" i="17"/>
  <c r="O26" i="17"/>
  <c r="O27" i="17"/>
  <c r="O28" i="17"/>
  <c r="O29" i="17"/>
  <c r="O30" i="17"/>
  <c r="O31" i="17"/>
  <c r="O32" i="17"/>
  <c r="O33" i="17"/>
  <c r="O36" i="17"/>
  <c r="N36" i="17"/>
  <c r="Q10" i="17"/>
  <c r="R10" i="17"/>
  <c r="S10" i="17"/>
  <c r="Q11" i="17"/>
  <c r="R11" i="17"/>
  <c r="S11" i="17"/>
  <c r="Q12" i="17"/>
  <c r="R12" i="17"/>
  <c r="S12" i="17"/>
  <c r="Q13" i="17"/>
  <c r="R13" i="17"/>
  <c r="S13" i="17"/>
  <c r="Q14" i="17"/>
  <c r="R14" i="17"/>
  <c r="S14" i="17"/>
  <c r="Q15" i="17"/>
  <c r="R15" i="17"/>
  <c r="S15" i="17"/>
  <c r="Q16" i="17"/>
  <c r="R16" i="17"/>
  <c r="S16" i="17"/>
  <c r="Q17" i="17"/>
  <c r="R17" i="17"/>
  <c r="S17" i="17"/>
  <c r="Q18" i="17"/>
  <c r="R18" i="17"/>
  <c r="S18" i="17"/>
  <c r="Q19" i="17"/>
  <c r="R19" i="17"/>
  <c r="S19" i="17"/>
  <c r="Q20" i="17"/>
  <c r="R20" i="17"/>
  <c r="S20" i="17"/>
  <c r="Q21" i="17"/>
  <c r="R21" i="17"/>
  <c r="S21" i="17"/>
  <c r="Q22" i="17"/>
  <c r="R22" i="17"/>
  <c r="S22" i="17"/>
  <c r="Q23" i="17"/>
  <c r="R23" i="17"/>
  <c r="S23" i="17"/>
  <c r="Q24" i="17"/>
  <c r="R24" i="17"/>
  <c r="S24" i="17"/>
  <c r="Q25" i="17"/>
  <c r="R25" i="17"/>
  <c r="S25" i="17"/>
  <c r="Q26" i="17"/>
  <c r="R26" i="17"/>
  <c r="S26" i="17"/>
  <c r="Q27" i="17"/>
  <c r="R27" i="17"/>
  <c r="S27" i="17"/>
  <c r="Q28" i="17"/>
  <c r="R28" i="17"/>
  <c r="S28" i="17"/>
  <c r="Q29" i="17"/>
  <c r="R29" i="17"/>
  <c r="S29" i="17"/>
  <c r="Q30" i="17"/>
  <c r="R30" i="17"/>
  <c r="S30" i="17"/>
  <c r="Q31" i="17"/>
  <c r="R31" i="17"/>
  <c r="S31" i="17"/>
  <c r="Q32" i="17"/>
  <c r="R32" i="17"/>
  <c r="S32" i="17"/>
  <c r="Q33" i="17"/>
  <c r="R33" i="17"/>
  <c r="S33" i="17"/>
  <c r="S35" i="17"/>
  <c r="O35" i="17"/>
  <c r="N35" i="17"/>
  <c r="U31" i="17"/>
  <c r="U33" i="17"/>
  <c r="N33" i="17"/>
  <c r="V31" i="17"/>
  <c r="V32" i="17"/>
  <c r="N32" i="17"/>
  <c r="N31" i="17"/>
  <c r="U28" i="17"/>
  <c r="U30" i="17"/>
  <c r="N30" i="17"/>
  <c r="V28" i="17"/>
  <c r="V29" i="17"/>
  <c r="N29" i="17"/>
  <c r="N28" i="17"/>
  <c r="U25" i="17"/>
  <c r="U27" i="17"/>
  <c r="N27" i="17"/>
  <c r="V25" i="17"/>
  <c r="V26" i="17"/>
  <c r="N26" i="17"/>
  <c r="N25" i="17"/>
  <c r="V24" i="17"/>
  <c r="N24" i="17"/>
  <c r="N23" i="17"/>
  <c r="N22" i="17"/>
  <c r="N21" i="17"/>
  <c r="N20" i="17"/>
  <c r="N19" i="17"/>
  <c r="N18" i="17"/>
  <c r="U15" i="17"/>
  <c r="U17" i="17"/>
  <c r="N17" i="17"/>
  <c r="V15" i="17"/>
  <c r="V16" i="17"/>
  <c r="N16" i="17"/>
  <c r="N15" i="17"/>
  <c r="N14" i="17"/>
  <c r="N13" i="17"/>
  <c r="N12" i="17"/>
  <c r="N11" i="17"/>
  <c r="N10" i="17"/>
  <c r="R44" i="18"/>
  <c r="V46" i="18"/>
  <c r="T44"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8" i="18"/>
  <c r="G38" i="18"/>
  <c r="N38" i="18"/>
  <c r="L38" i="18"/>
  <c r="K38" i="18"/>
  <c r="I38" i="18"/>
  <c r="H38" i="18"/>
  <c r="F38" i="18"/>
  <c r="O37" i="18"/>
  <c r="N37" i="18"/>
  <c r="L37" i="18"/>
  <c r="K37"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U34" i="18"/>
  <c r="U36" i="18"/>
  <c r="R10" i="18"/>
  <c r="S10" i="18"/>
  <c r="R11" i="18"/>
  <c r="S11" i="18"/>
  <c r="R12" i="18"/>
  <c r="S12" i="18"/>
  <c r="R13" i="18"/>
  <c r="S13" i="18"/>
  <c r="R14" i="18"/>
  <c r="S14" i="18"/>
  <c r="R15" i="18"/>
  <c r="S15" i="18"/>
  <c r="R16" i="18"/>
  <c r="S16" i="18"/>
  <c r="R17" i="18"/>
  <c r="S17" i="18"/>
  <c r="R18" i="18"/>
  <c r="S18" i="18"/>
  <c r="R19" i="18"/>
  <c r="S19" i="18"/>
  <c r="R20" i="18"/>
  <c r="S20" i="18"/>
  <c r="R21" i="18"/>
  <c r="S21" i="18"/>
  <c r="R22" i="18"/>
  <c r="S22" i="18"/>
  <c r="R23" i="18"/>
  <c r="S23" i="18"/>
  <c r="R24" i="18"/>
  <c r="S24" i="18"/>
  <c r="R25" i="18"/>
  <c r="S25" i="18"/>
  <c r="R26" i="18"/>
  <c r="S26" i="18"/>
  <c r="R27" i="18"/>
  <c r="S27" i="18"/>
  <c r="R28" i="18"/>
  <c r="S28" i="18"/>
  <c r="R29" i="18"/>
  <c r="S29" i="18"/>
  <c r="R30" i="18"/>
  <c r="S30" i="18"/>
  <c r="R31" i="18"/>
  <c r="S31" i="18"/>
  <c r="R32" i="18"/>
  <c r="S32" i="18"/>
  <c r="R33" i="18"/>
  <c r="S33" i="18"/>
  <c r="R34" i="18"/>
  <c r="S34" i="18"/>
  <c r="Q35" i="18"/>
  <c r="R35" i="18"/>
  <c r="S35" i="18"/>
  <c r="S36" i="18"/>
  <c r="V34" i="18"/>
  <c r="V35" i="18"/>
  <c r="U27" i="18"/>
  <c r="U29" i="18"/>
  <c r="U31" i="18"/>
  <c r="U33" i="18"/>
  <c r="V32" i="18"/>
  <c r="V30" i="18"/>
  <c r="V27" i="18"/>
  <c r="V28" i="18"/>
  <c r="U19" i="18"/>
  <c r="U21" i="18"/>
  <c r="H21" i="18"/>
  <c r="N21" i="18"/>
  <c r="V19" i="18"/>
  <c r="V20" i="18"/>
  <c r="H15" i="18"/>
  <c r="N15" i="18"/>
  <c r="Y42" i="16"/>
  <c r="W42" i="16"/>
  <c r="S42" i="16"/>
  <c r="Q42" i="16"/>
  <c r="G36" i="16"/>
  <c r="M36" i="16"/>
  <c r="K35" i="16"/>
  <c r="K36" i="16"/>
  <c r="F36" i="16"/>
  <c r="J36" i="16"/>
  <c r="I12" i="16"/>
  <c r="I36" i="16"/>
  <c r="H36" i="16"/>
  <c r="M35" i="16"/>
  <c r="J35" i="16"/>
  <c r="N33" i="16"/>
  <c r="Z32" i="16"/>
  <c r="N32" i="16"/>
  <c r="Z34" i="16"/>
  <c r="X10" i="16"/>
  <c r="X11" i="16"/>
  <c r="X12" i="16"/>
  <c r="X13" i="16"/>
  <c r="X14" i="16"/>
  <c r="X15" i="16"/>
  <c r="X16" i="16"/>
  <c r="X17" i="16"/>
  <c r="X18" i="16"/>
  <c r="X19" i="16"/>
  <c r="X20" i="16"/>
  <c r="X21" i="16"/>
  <c r="X22" i="16"/>
  <c r="X23" i="16"/>
  <c r="X24" i="16"/>
  <c r="X25" i="16"/>
  <c r="X26" i="16"/>
  <c r="X27" i="16"/>
  <c r="X28" i="16"/>
  <c r="X29" i="16"/>
  <c r="X30" i="16"/>
  <c r="X31" i="16"/>
  <c r="X32" i="16"/>
  <c r="X33" i="16"/>
  <c r="X34" i="16"/>
  <c r="P10" i="16"/>
  <c r="P11" i="16"/>
  <c r="P12" i="16"/>
  <c r="P13" i="16"/>
  <c r="P14" i="16"/>
  <c r="P15" i="16"/>
  <c r="P16" i="16"/>
  <c r="P17" i="16"/>
  <c r="P18" i="16"/>
  <c r="P19" i="16"/>
  <c r="P20" i="16"/>
  <c r="P21" i="16"/>
  <c r="P22" i="16"/>
  <c r="P23" i="16"/>
  <c r="P24" i="16"/>
  <c r="P25" i="16"/>
  <c r="P26" i="16"/>
  <c r="P27" i="16"/>
  <c r="P28" i="16"/>
  <c r="P29" i="16"/>
  <c r="P30" i="16"/>
  <c r="P31" i="16"/>
  <c r="P32" i="16"/>
  <c r="T32" i="16"/>
  <c r="T34" i="16"/>
  <c r="N10" i="16"/>
  <c r="Q10" i="16"/>
  <c r="R10" i="16"/>
  <c r="N11" i="16"/>
  <c r="Q11" i="16"/>
  <c r="R11" i="16"/>
  <c r="N12" i="16"/>
  <c r="Q12" i="16"/>
  <c r="R12" i="16"/>
  <c r="R34" i="16"/>
  <c r="AA32" i="16"/>
  <c r="AA33" i="16"/>
  <c r="N31" i="16"/>
  <c r="N30" i="16"/>
  <c r="N29" i="16"/>
  <c r="N28" i="16"/>
  <c r="N27" i="16"/>
  <c r="N26" i="16"/>
  <c r="N25" i="16"/>
  <c r="N24" i="16"/>
  <c r="N23" i="16"/>
  <c r="N22" i="16"/>
  <c r="N21" i="16"/>
  <c r="N20" i="16"/>
  <c r="N19" i="16"/>
  <c r="N18" i="16"/>
  <c r="N17" i="16"/>
  <c r="N16" i="16"/>
  <c r="N15" i="16"/>
  <c r="N14" i="16"/>
  <c r="N13" i="16"/>
  <c r="Q13" i="16"/>
  <c r="Q14" i="16"/>
  <c r="Q15" i="16"/>
  <c r="Q16" i="16"/>
  <c r="Q17" i="16"/>
  <c r="Q18" i="16"/>
  <c r="Q19" i="16"/>
  <c r="Q20" i="16"/>
  <c r="Q21" i="16"/>
  <c r="Q22" i="16"/>
  <c r="Q23" i="16"/>
  <c r="Q24" i="16"/>
  <c r="Q25" i="16"/>
  <c r="Q26" i="16"/>
  <c r="Q27" i="16"/>
  <c r="Q28" i="16"/>
  <c r="Q29" i="16"/>
  <c r="Q30" i="16"/>
  <c r="Q31" i="16"/>
  <c r="Q32" i="16"/>
  <c r="U32" i="16"/>
  <c r="U33" i="16"/>
  <c r="Q33" i="16"/>
  <c r="P33" i="16"/>
  <c r="M33" i="16"/>
  <c r="M32" i="16"/>
  <c r="AA31" i="16"/>
  <c r="U31" i="16"/>
  <c r="M31" i="16"/>
  <c r="Z28" i="16"/>
  <c r="Z30" i="16"/>
  <c r="T26" i="16"/>
  <c r="T28" i="16"/>
  <c r="T30" i="16"/>
  <c r="M30" i="16"/>
  <c r="AA28" i="16"/>
  <c r="AA29" i="16"/>
  <c r="U29" i="16"/>
  <c r="M29" i="16"/>
  <c r="M28" i="16"/>
  <c r="U26" i="16"/>
  <c r="U27" i="16"/>
  <c r="M27" i="16"/>
  <c r="Z26" i="16"/>
  <c r="M26" i="16"/>
  <c r="T13" i="16"/>
  <c r="T15" i="16"/>
  <c r="Z23" i="16"/>
  <c r="Z25" i="16"/>
  <c r="U25" i="16"/>
  <c r="M25" i="16"/>
  <c r="AA23" i="16"/>
  <c r="AA24" i="16"/>
  <c r="M24" i="16"/>
  <c r="M23" i="16"/>
  <c r="M22" i="16"/>
  <c r="M21" i="16"/>
  <c r="M20" i="16"/>
  <c r="M19" i="16"/>
  <c r="M18" i="16"/>
  <c r="M17" i="16"/>
  <c r="M16" i="16"/>
  <c r="M15" i="16"/>
  <c r="U13" i="16"/>
  <c r="U14" i="16"/>
  <c r="M14" i="16"/>
  <c r="M13" i="16"/>
  <c r="M12" i="16"/>
  <c r="M11" i="16"/>
  <c r="M10" i="16"/>
  <c r="AB92" i="19"/>
  <c r="Y92" i="19"/>
  <c r="U92" i="19"/>
  <c r="R92" i="19"/>
  <c r="O87" i="19"/>
  <c r="I10" i="19"/>
  <c r="O10" i="19"/>
  <c r="I11" i="19"/>
  <c r="O11" i="19"/>
  <c r="I12" i="19"/>
  <c r="O12" i="19"/>
  <c r="I13" i="19"/>
  <c r="O13" i="19"/>
  <c r="I14" i="19"/>
  <c r="O14" i="19"/>
  <c r="I15" i="19"/>
  <c r="O15" i="19"/>
  <c r="I16" i="19"/>
  <c r="O16" i="19"/>
  <c r="I17" i="19"/>
  <c r="O17" i="19"/>
  <c r="I18" i="19"/>
  <c r="O18" i="19"/>
  <c r="I19" i="19"/>
  <c r="O19" i="19"/>
  <c r="I20" i="19"/>
  <c r="O20" i="19"/>
  <c r="I21" i="19"/>
  <c r="O21" i="19"/>
  <c r="I22" i="19"/>
  <c r="O22" i="19"/>
  <c r="I23" i="19"/>
  <c r="O23" i="19"/>
  <c r="I24" i="19"/>
  <c r="O24" i="19"/>
  <c r="I25" i="19"/>
  <c r="O25" i="19"/>
  <c r="I26" i="19"/>
  <c r="O26" i="19"/>
  <c r="I27" i="19"/>
  <c r="O27" i="19"/>
  <c r="I28" i="19"/>
  <c r="O28" i="19"/>
  <c r="I29" i="19"/>
  <c r="O29" i="19"/>
  <c r="I30" i="19"/>
  <c r="O30" i="19"/>
  <c r="I31" i="19"/>
  <c r="O31" i="19"/>
  <c r="I32" i="19"/>
  <c r="O32" i="19"/>
  <c r="I33" i="19"/>
  <c r="O33" i="19"/>
  <c r="I34" i="19"/>
  <c r="O34" i="19"/>
  <c r="I35" i="19"/>
  <c r="O35" i="19"/>
  <c r="I36" i="19"/>
  <c r="O36" i="19"/>
  <c r="I37" i="19"/>
  <c r="O37" i="19"/>
  <c r="I38" i="19"/>
  <c r="O38" i="19"/>
  <c r="I39" i="19"/>
  <c r="O39" i="19"/>
  <c r="I40" i="19"/>
  <c r="O40" i="19"/>
  <c r="I41" i="19"/>
  <c r="O41" i="19"/>
  <c r="I42" i="19"/>
  <c r="O42" i="19"/>
  <c r="I43" i="19"/>
  <c r="O43" i="19"/>
  <c r="I44" i="19"/>
  <c r="O44" i="19"/>
  <c r="I45" i="19"/>
  <c r="O45" i="19"/>
  <c r="I46" i="19"/>
  <c r="O46" i="19"/>
  <c r="I47" i="19"/>
  <c r="O47" i="19"/>
  <c r="I48" i="19"/>
  <c r="O48" i="19"/>
  <c r="I49" i="19"/>
  <c r="O49" i="19"/>
  <c r="I50" i="19"/>
  <c r="O50" i="19"/>
  <c r="I51" i="19"/>
  <c r="O51" i="19"/>
  <c r="I52" i="19"/>
  <c r="O52" i="19"/>
  <c r="I53" i="19"/>
  <c r="O53" i="19"/>
  <c r="I54" i="19"/>
  <c r="O54" i="19"/>
  <c r="I55" i="19"/>
  <c r="O55" i="19"/>
  <c r="I56" i="19"/>
  <c r="O56" i="19"/>
  <c r="I57" i="19"/>
  <c r="O57" i="19"/>
  <c r="I58" i="19"/>
  <c r="O58" i="19"/>
  <c r="I59" i="19"/>
  <c r="O59" i="19"/>
  <c r="I60" i="19"/>
  <c r="O60" i="19"/>
  <c r="I61" i="19"/>
  <c r="O61" i="19"/>
  <c r="I62" i="19"/>
  <c r="O62" i="19"/>
  <c r="I63" i="19"/>
  <c r="O63" i="19"/>
  <c r="I64" i="19"/>
  <c r="O64" i="19"/>
  <c r="I65" i="19"/>
  <c r="O65" i="19"/>
  <c r="I66" i="19"/>
  <c r="O66" i="19"/>
  <c r="I67" i="19"/>
  <c r="O67" i="19"/>
  <c r="I68" i="19"/>
  <c r="O68" i="19"/>
  <c r="I69" i="19"/>
  <c r="O69" i="19"/>
  <c r="I70" i="19"/>
  <c r="O70" i="19"/>
  <c r="I71" i="19"/>
  <c r="O71" i="19"/>
  <c r="I72" i="19"/>
  <c r="O72" i="19"/>
  <c r="I73" i="19"/>
  <c r="O73" i="19"/>
  <c r="I74" i="19"/>
  <c r="O74" i="19"/>
  <c r="I75" i="19"/>
  <c r="O75" i="19"/>
  <c r="I76" i="19"/>
  <c r="O76" i="19"/>
  <c r="I77" i="19"/>
  <c r="O77" i="19"/>
  <c r="I78" i="19"/>
  <c r="O78" i="19"/>
  <c r="I79" i="19"/>
  <c r="O79" i="19"/>
  <c r="I80" i="19"/>
  <c r="O80" i="19"/>
  <c r="I81" i="19"/>
  <c r="O81" i="19"/>
  <c r="I82" i="19"/>
  <c r="O82" i="19"/>
  <c r="I83" i="19"/>
  <c r="O83" i="19"/>
  <c r="O86" i="19"/>
  <c r="O89" i="19"/>
  <c r="L85" i="19"/>
  <c r="L86" i="19"/>
  <c r="L87" i="19"/>
  <c r="L89" i="19"/>
  <c r="I87" i="19"/>
  <c r="I86" i="19"/>
  <c r="I89" i="19"/>
  <c r="F87" i="19"/>
  <c r="F86" i="19"/>
  <c r="F89" i="19"/>
  <c r="H87" i="19"/>
  <c r="N86" i="19"/>
  <c r="K86" i="19"/>
  <c r="H86"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O85"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5" i="19"/>
  <c r="F85" i="19"/>
  <c r="N85" i="19"/>
  <c r="K85" i="19"/>
  <c r="H85" i="19"/>
  <c r="X10" i="19"/>
  <c r="Y10" i="19"/>
  <c r="Z10" i="19"/>
  <c r="X11" i="19"/>
  <c r="Y11" i="19"/>
  <c r="Z11" i="19"/>
  <c r="X12" i="19"/>
  <c r="Y12" i="19"/>
  <c r="Z12" i="19"/>
  <c r="X13" i="19"/>
  <c r="Y13" i="19"/>
  <c r="Z13" i="19"/>
  <c r="X14" i="19"/>
  <c r="Y14" i="19"/>
  <c r="Z14" i="19"/>
  <c r="X15" i="19"/>
  <c r="Y15" i="19"/>
  <c r="Z15" i="19"/>
  <c r="X16" i="19"/>
  <c r="Y16" i="19"/>
  <c r="Z16" i="19"/>
  <c r="X17" i="19"/>
  <c r="Y17" i="19"/>
  <c r="Z17" i="19"/>
  <c r="X18" i="19"/>
  <c r="Y18" i="19"/>
  <c r="Z18" i="19"/>
  <c r="X19" i="19"/>
  <c r="Y19" i="19"/>
  <c r="Z19" i="19"/>
  <c r="X20" i="19"/>
  <c r="Y20" i="19"/>
  <c r="Z20" i="19"/>
  <c r="X21" i="19"/>
  <c r="Y21" i="19"/>
  <c r="Z21" i="19"/>
  <c r="X22" i="19"/>
  <c r="Y22" i="19"/>
  <c r="Z22" i="19"/>
  <c r="X23" i="19"/>
  <c r="Y23" i="19"/>
  <c r="Z23" i="19"/>
  <c r="X24" i="19"/>
  <c r="Y24" i="19"/>
  <c r="Z24" i="19"/>
  <c r="X25" i="19"/>
  <c r="Y25" i="19"/>
  <c r="Z25" i="19"/>
  <c r="X26" i="19"/>
  <c r="Y26" i="19"/>
  <c r="Z26" i="19"/>
  <c r="X27" i="19"/>
  <c r="Y27" i="19"/>
  <c r="Z27" i="19"/>
  <c r="X28" i="19"/>
  <c r="Y28" i="19"/>
  <c r="Z28" i="19"/>
  <c r="X29" i="19"/>
  <c r="Y29" i="19"/>
  <c r="Z29" i="19"/>
  <c r="X30" i="19"/>
  <c r="Y30" i="19"/>
  <c r="Z30" i="19"/>
  <c r="X31" i="19"/>
  <c r="Y31" i="19"/>
  <c r="Z31" i="19"/>
  <c r="X32" i="19"/>
  <c r="Y32" i="19"/>
  <c r="Z32" i="19"/>
  <c r="X33" i="19"/>
  <c r="Y33" i="19"/>
  <c r="Z33" i="19"/>
  <c r="X34" i="19"/>
  <c r="Y34" i="19"/>
  <c r="Z34" i="19"/>
  <c r="X35" i="19"/>
  <c r="Y35" i="19"/>
  <c r="Z35" i="19"/>
  <c r="X36" i="19"/>
  <c r="Y36" i="19"/>
  <c r="Z36" i="19"/>
  <c r="X37" i="19"/>
  <c r="Y37" i="19"/>
  <c r="Z37" i="19"/>
  <c r="X38" i="19"/>
  <c r="Y38" i="19"/>
  <c r="Z38" i="19"/>
  <c r="X39" i="19"/>
  <c r="Y39" i="19"/>
  <c r="Z39" i="19"/>
  <c r="X40" i="19"/>
  <c r="Y40" i="19"/>
  <c r="Z40" i="19"/>
  <c r="X41" i="19"/>
  <c r="Y41" i="19"/>
  <c r="Z41" i="19"/>
  <c r="X42" i="19"/>
  <c r="Y42" i="19"/>
  <c r="Z42" i="19"/>
  <c r="X43" i="19"/>
  <c r="Y43" i="19"/>
  <c r="Z43" i="19"/>
  <c r="X44" i="19"/>
  <c r="Y44" i="19"/>
  <c r="Z44" i="19"/>
  <c r="X45" i="19"/>
  <c r="Y45" i="19"/>
  <c r="Z45" i="19"/>
  <c r="X46" i="19"/>
  <c r="Y46" i="19"/>
  <c r="Z46" i="19"/>
  <c r="X47" i="19"/>
  <c r="Y47" i="19"/>
  <c r="Z47" i="19"/>
  <c r="X48" i="19"/>
  <c r="Y48" i="19"/>
  <c r="Z48" i="19"/>
  <c r="X49" i="19"/>
  <c r="Y49" i="19"/>
  <c r="Z49" i="19"/>
  <c r="X50" i="19"/>
  <c r="Y50" i="19"/>
  <c r="Z50" i="19"/>
  <c r="X51" i="19"/>
  <c r="Y51" i="19"/>
  <c r="Z51" i="19"/>
  <c r="X52" i="19"/>
  <c r="Y52" i="19"/>
  <c r="Z52" i="19"/>
  <c r="X53" i="19"/>
  <c r="Y53" i="19"/>
  <c r="Z53" i="19"/>
  <c r="X54" i="19"/>
  <c r="Y54" i="19"/>
  <c r="Z54" i="19"/>
  <c r="X55" i="19"/>
  <c r="Y55" i="19"/>
  <c r="Z55" i="19"/>
  <c r="X56" i="19"/>
  <c r="Y56" i="19"/>
  <c r="Z56" i="19"/>
  <c r="X57" i="19"/>
  <c r="Y57" i="19"/>
  <c r="Z57" i="19"/>
  <c r="X58" i="19"/>
  <c r="Y58" i="19"/>
  <c r="Z58" i="19"/>
  <c r="X59" i="19"/>
  <c r="Y59" i="19"/>
  <c r="Z59" i="19"/>
  <c r="X60" i="19"/>
  <c r="Y60" i="19"/>
  <c r="Z60" i="19"/>
  <c r="X61" i="19"/>
  <c r="Y61" i="19"/>
  <c r="Z61" i="19"/>
  <c r="X62" i="19"/>
  <c r="Y62" i="19"/>
  <c r="Z62" i="19"/>
  <c r="X63" i="19"/>
  <c r="Y63" i="19"/>
  <c r="Z63" i="19"/>
  <c r="X64" i="19"/>
  <c r="Y64" i="19"/>
  <c r="Z64" i="19"/>
  <c r="X65" i="19"/>
  <c r="Y65" i="19"/>
  <c r="Z65" i="19"/>
  <c r="X66" i="19"/>
  <c r="Y66" i="19"/>
  <c r="Z66" i="19"/>
  <c r="X67" i="19"/>
  <c r="Y67" i="19"/>
  <c r="Z67" i="19"/>
  <c r="X68" i="19"/>
  <c r="Y68" i="19"/>
  <c r="Z68" i="19"/>
  <c r="X69" i="19"/>
  <c r="Y69" i="19"/>
  <c r="Z69" i="19"/>
  <c r="X70" i="19"/>
  <c r="Y70" i="19"/>
  <c r="Z70" i="19"/>
  <c r="X71" i="19"/>
  <c r="Y71" i="19"/>
  <c r="Z71" i="19"/>
  <c r="X72" i="19"/>
  <c r="Y72" i="19"/>
  <c r="Z72" i="19"/>
  <c r="X73" i="19"/>
  <c r="Y73" i="19"/>
  <c r="Z73" i="19"/>
  <c r="X74" i="19"/>
  <c r="Y74" i="19"/>
  <c r="Z74" i="19"/>
  <c r="X75" i="19"/>
  <c r="Y75" i="19"/>
  <c r="Z75" i="19"/>
  <c r="X76" i="19"/>
  <c r="Y76" i="19"/>
  <c r="Z76" i="19"/>
  <c r="X77" i="19"/>
  <c r="Y77" i="19"/>
  <c r="Z77" i="19"/>
  <c r="X78" i="19"/>
  <c r="Y78" i="19"/>
  <c r="Z78" i="19"/>
  <c r="X79" i="19"/>
  <c r="Y79" i="19"/>
  <c r="Z79" i="19"/>
  <c r="X80" i="19"/>
  <c r="Y80" i="19"/>
  <c r="Z80" i="19"/>
  <c r="X81" i="19"/>
  <c r="Y81" i="19"/>
  <c r="Z81" i="19"/>
  <c r="X82" i="19"/>
  <c r="Y82" i="19"/>
  <c r="Z82" i="19"/>
  <c r="X83" i="19"/>
  <c r="Y83" i="19"/>
  <c r="Z83" i="19"/>
  <c r="Z84" i="19"/>
  <c r="Q10" i="19"/>
  <c r="R10" i="19"/>
  <c r="S10" i="19"/>
  <c r="Q11" i="19"/>
  <c r="R11" i="19"/>
  <c r="S11" i="19"/>
  <c r="Q12" i="19"/>
  <c r="R12" i="19"/>
  <c r="S12" i="19"/>
  <c r="Q13" i="19"/>
  <c r="R13" i="19"/>
  <c r="S13" i="19"/>
  <c r="Q14" i="19"/>
  <c r="R14" i="19"/>
  <c r="S14" i="19"/>
  <c r="Q15" i="19"/>
  <c r="R15" i="19"/>
  <c r="S15" i="19"/>
  <c r="Q16" i="19"/>
  <c r="R16" i="19"/>
  <c r="S16" i="19"/>
  <c r="Q17" i="19"/>
  <c r="R17" i="19"/>
  <c r="S17" i="19"/>
  <c r="Q18" i="19"/>
  <c r="R18" i="19"/>
  <c r="S18" i="19"/>
  <c r="Q19" i="19"/>
  <c r="R19" i="19"/>
  <c r="S19" i="19"/>
  <c r="Q20" i="19"/>
  <c r="R20" i="19"/>
  <c r="S20" i="19"/>
  <c r="Q21" i="19"/>
  <c r="R21" i="19"/>
  <c r="S21" i="19"/>
  <c r="Q22" i="19"/>
  <c r="R22" i="19"/>
  <c r="S22" i="19"/>
  <c r="Q23" i="19"/>
  <c r="R23" i="19"/>
  <c r="S23" i="19"/>
  <c r="Q24" i="19"/>
  <c r="R24" i="19"/>
  <c r="S24" i="19"/>
  <c r="Q25" i="19"/>
  <c r="R25" i="19"/>
  <c r="S25" i="19"/>
  <c r="Q26" i="19"/>
  <c r="R26" i="19"/>
  <c r="S26" i="19"/>
  <c r="Q27" i="19"/>
  <c r="R27" i="19"/>
  <c r="S27" i="19"/>
  <c r="Q28" i="19"/>
  <c r="R28" i="19"/>
  <c r="S28" i="19"/>
  <c r="Q29" i="19"/>
  <c r="R29" i="19"/>
  <c r="S29" i="19"/>
  <c r="Q30" i="19"/>
  <c r="R30" i="19"/>
  <c r="S30" i="19"/>
  <c r="Q31" i="19"/>
  <c r="R31" i="19"/>
  <c r="S31" i="19"/>
  <c r="Q32" i="19"/>
  <c r="R32" i="19"/>
  <c r="S32" i="19"/>
  <c r="Q33" i="19"/>
  <c r="R33" i="19"/>
  <c r="S33" i="19"/>
  <c r="Q34" i="19"/>
  <c r="R34" i="19"/>
  <c r="S34" i="19"/>
  <c r="Q35" i="19"/>
  <c r="R35" i="19"/>
  <c r="S35" i="19"/>
  <c r="Q36" i="19"/>
  <c r="R36" i="19"/>
  <c r="S36" i="19"/>
  <c r="Q37" i="19"/>
  <c r="R37" i="19"/>
  <c r="S37" i="19"/>
  <c r="Q38" i="19"/>
  <c r="R38" i="19"/>
  <c r="S38" i="19"/>
  <c r="Q39" i="19"/>
  <c r="R39" i="19"/>
  <c r="S39" i="19"/>
  <c r="Q40" i="19"/>
  <c r="R40" i="19"/>
  <c r="S40" i="19"/>
  <c r="Q41" i="19"/>
  <c r="R41" i="19"/>
  <c r="S41" i="19"/>
  <c r="Q42" i="19"/>
  <c r="R42" i="19"/>
  <c r="S42" i="19"/>
  <c r="Q43" i="19"/>
  <c r="R43" i="19"/>
  <c r="S43" i="19"/>
  <c r="Q44" i="19"/>
  <c r="R44" i="19"/>
  <c r="S44" i="19"/>
  <c r="Q45" i="19"/>
  <c r="R45" i="19"/>
  <c r="S45" i="19"/>
  <c r="Q46" i="19"/>
  <c r="R46" i="19"/>
  <c r="S46" i="19"/>
  <c r="Q47" i="19"/>
  <c r="R47" i="19"/>
  <c r="S47" i="19"/>
  <c r="Q48" i="19"/>
  <c r="R48" i="19"/>
  <c r="S48" i="19"/>
  <c r="Q49" i="19"/>
  <c r="R49" i="19"/>
  <c r="S49" i="19"/>
  <c r="Q50" i="19"/>
  <c r="R50" i="19"/>
  <c r="S50" i="19"/>
  <c r="Q51" i="19"/>
  <c r="R51" i="19"/>
  <c r="S51" i="19"/>
  <c r="Q52" i="19"/>
  <c r="R52" i="19"/>
  <c r="S52" i="19"/>
  <c r="Q53" i="19"/>
  <c r="R53" i="19"/>
  <c r="S53" i="19"/>
  <c r="Q54" i="19"/>
  <c r="R54" i="19"/>
  <c r="S54" i="19"/>
  <c r="Q55" i="19"/>
  <c r="R55" i="19"/>
  <c r="S55" i="19"/>
  <c r="Q56" i="19"/>
  <c r="R56" i="19"/>
  <c r="S56" i="19"/>
  <c r="Q57" i="19"/>
  <c r="R57" i="19"/>
  <c r="S57" i="19"/>
  <c r="Q58" i="19"/>
  <c r="R58" i="19"/>
  <c r="S58" i="19"/>
  <c r="Q59" i="19"/>
  <c r="R59" i="19"/>
  <c r="S59" i="19"/>
  <c r="Q60" i="19"/>
  <c r="R60" i="19"/>
  <c r="S60" i="19"/>
  <c r="Q61" i="19"/>
  <c r="R61" i="19"/>
  <c r="S61" i="19"/>
  <c r="Q62" i="19"/>
  <c r="R62" i="19"/>
  <c r="S62" i="19"/>
  <c r="Q63" i="19"/>
  <c r="R63" i="19"/>
  <c r="S63" i="19"/>
  <c r="Q64" i="19"/>
  <c r="R64" i="19"/>
  <c r="S64" i="19"/>
  <c r="Q65" i="19"/>
  <c r="R65" i="19"/>
  <c r="S65" i="19"/>
  <c r="Q66" i="19"/>
  <c r="R66" i="19"/>
  <c r="S66" i="19"/>
  <c r="Q67" i="19"/>
  <c r="R67" i="19"/>
  <c r="S67" i="19"/>
  <c r="Q68" i="19"/>
  <c r="R68" i="19"/>
  <c r="S68" i="19"/>
  <c r="Q69" i="19"/>
  <c r="R69" i="19"/>
  <c r="S69" i="19"/>
  <c r="Q70" i="19"/>
  <c r="R70" i="19"/>
  <c r="S70" i="19"/>
  <c r="Q71" i="19"/>
  <c r="R71" i="19"/>
  <c r="S71" i="19"/>
  <c r="Q72" i="19"/>
  <c r="R72" i="19"/>
  <c r="S72" i="19"/>
  <c r="Q73" i="19"/>
  <c r="R73" i="19"/>
  <c r="S73" i="19"/>
  <c r="Q74" i="19"/>
  <c r="R74" i="19"/>
  <c r="S74" i="19"/>
  <c r="Q75" i="19"/>
  <c r="R75" i="19"/>
  <c r="S75" i="19"/>
  <c r="Q76" i="19"/>
  <c r="R76" i="19"/>
  <c r="S76" i="19"/>
  <c r="Q77" i="19"/>
  <c r="R77" i="19"/>
  <c r="S77" i="19"/>
  <c r="Q78" i="19"/>
  <c r="R78" i="19"/>
  <c r="S78" i="19"/>
  <c r="Q79" i="19"/>
  <c r="R79" i="19"/>
  <c r="S79" i="19"/>
  <c r="Q80" i="19"/>
  <c r="R80" i="19"/>
  <c r="S80" i="19"/>
  <c r="Q81" i="19"/>
  <c r="R81" i="19"/>
  <c r="S81" i="19"/>
  <c r="Q82" i="19"/>
  <c r="R82" i="19"/>
  <c r="S82" i="19"/>
  <c r="Q83" i="19"/>
  <c r="R83" i="19"/>
  <c r="S83" i="19"/>
  <c r="S84" i="19"/>
  <c r="AB80" i="19"/>
  <c r="AB82" i="19"/>
  <c r="U80" i="19"/>
  <c r="U82" i="19"/>
  <c r="AC80" i="19"/>
  <c r="AC81" i="19"/>
  <c r="V80" i="19"/>
  <c r="V81" i="19"/>
  <c r="N81" i="19"/>
  <c r="N76" i="19"/>
  <c r="AB73" i="19"/>
  <c r="AB75" i="19"/>
  <c r="U73" i="19"/>
  <c r="U75" i="19"/>
  <c r="AC73" i="19"/>
  <c r="AC74" i="19"/>
  <c r="V73" i="19"/>
  <c r="V74" i="19"/>
  <c r="AB68" i="19"/>
  <c r="AB70" i="19"/>
  <c r="N70" i="19"/>
  <c r="AC68" i="19"/>
  <c r="AC69" i="19"/>
  <c r="U66" i="19"/>
  <c r="U68" i="19"/>
  <c r="AB65" i="19"/>
  <c r="AB67" i="19"/>
  <c r="V66" i="19"/>
  <c r="V67" i="19"/>
  <c r="AC65" i="19"/>
  <c r="AC66" i="19"/>
  <c r="N64" i="19"/>
  <c r="N63" i="19"/>
  <c r="U60" i="19"/>
  <c r="U62" i="19"/>
  <c r="V60" i="19"/>
  <c r="V61" i="19"/>
  <c r="N59" i="19"/>
  <c r="N58" i="19"/>
  <c r="N55" i="19"/>
  <c r="N53" i="19"/>
  <c r="N52" i="19"/>
  <c r="N48" i="19"/>
  <c r="N47" i="19"/>
  <c r="N46" i="19"/>
  <c r="AB43" i="19"/>
  <c r="AB45" i="19"/>
  <c r="AC43" i="19"/>
  <c r="AC44" i="19"/>
  <c r="N43" i="19"/>
  <c r="N41" i="19"/>
  <c r="N31" i="19"/>
  <c r="U28" i="19"/>
  <c r="U30" i="19"/>
  <c r="V28" i="19"/>
  <c r="V29" i="19"/>
  <c r="N27" i="19"/>
  <c r="N26" i="19"/>
  <c r="N25" i="19"/>
  <c r="N23" i="19"/>
  <c r="N22" i="19"/>
  <c r="N20" i="19"/>
  <c r="N15" i="19"/>
  <c r="N13" i="19"/>
  <c r="N12" i="19"/>
  <c r="N10" i="19"/>
  <c r="G54" i="22"/>
  <c r="E11" i="22"/>
</calcChain>
</file>

<file path=xl/sharedStrings.xml><?xml version="1.0" encoding="utf-8"?>
<sst xmlns="http://schemas.openxmlformats.org/spreadsheetml/2006/main" count="1627" uniqueCount="697">
  <si>
    <t>Average household size, 13 colonies 1774</t>
    <phoneticPr fontId="20" type="noConversion"/>
  </si>
  <si>
    <t>In 1759</t>
    <phoneticPr fontId="20" type="noConversion"/>
  </si>
  <si>
    <r>
      <t>Versus</t>
    </r>
    <r>
      <rPr>
        <u/>
        <sz val="12"/>
        <rFont val="Arial"/>
      </rPr>
      <t xml:space="preserve"> England and Wales</t>
    </r>
    <r>
      <rPr>
        <sz val="12"/>
        <rFont val="Arial"/>
      </rPr>
      <t>:</t>
    </r>
    <phoneticPr fontId="20" type="noConversion"/>
  </si>
  <si>
    <t>in 1801</t>
    <phoneticPr fontId="20" type="noConversion"/>
  </si>
  <si>
    <t>NewEng</t>
  </si>
  <si>
    <t>MidAtl</t>
  </si>
  <si>
    <t>All 13</t>
  </si>
  <si>
    <t>69.06  in $ =</t>
  </si>
  <si>
    <t>15.55  in £</t>
  </si>
  <si>
    <r>
      <t>Per capita incomes, in current prices, 1774</t>
    </r>
    <r>
      <rPr>
        <sz val="12"/>
        <rFont val="Arial"/>
      </rPr>
      <t>:</t>
    </r>
    <phoneticPr fontId="20" type="noConversion"/>
  </si>
  <si>
    <r>
      <t xml:space="preserve">Versus these incomes per capita in </t>
    </r>
    <r>
      <rPr>
        <u/>
        <sz val="12"/>
        <rFont val="Arial"/>
      </rPr>
      <t>England-Wales</t>
    </r>
    <r>
      <rPr>
        <sz val="12"/>
        <rFont val="Arial"/>
      </rPr>
      <t>, in current £ </t>
    </r>
    <phoneticPr fontId="20" type="noConversion"/>
  </si>
  <si>
    <t>[Sample too small to be used.]</t>
    <phoneticPr fontId="20" type="noConversion"/>
  </si>
  <si>
    <t>LF per</t>
    <phoneticPr fontId="20" type="noConversion"/>
  </si>
  <si>
    <t>no. of HHs</t>
    <phoneticPr fontId="20" type="noConversion"/>
  </si>
  <si>
    <t>free LF</t>
    <phoneticPr fontId="20" type="noConversion"/>
  </si>
  <si>
    <t>Colonies</t>
    <phoneticPr fontId="20" type="noConversion"/>
  </si>
  <si>
    <t>all match totals in "1774 occs ... d" file.</t>
    <phoneticPr fontId="20" type="noConversion"/>
  </si>
  <si>
    <t>New Eng</t>
    <phoneticPr fontId="20" type="noConversion"/>
  </si>
  <si>
    <t>worksheet in the "Own labor incomes 1774" Excel file). The retention rates (%) are:</t>
    <phoneticPr fontId="20" type="noConversion"/>
  </si>
  <si>
    <t>Group 918B</t>
    <phoneticPr fontId="20" type="noConversion"/>
  </si>
  <si>
    <t>Group 919</t>
    <phoneticPr fontId="20" type="noConversion"/>
  </si>
  <si>
    <t>P10*(P10-Q10)</t>
    <phoneticPr fontId="20" type="noConversion"/>
  </si>
  <si>
    <t>Note that in all cases, we continued to estimate that some female unskilled laborers were household heads,</t>
    <phoneticPr fontId="20" type="noConversion"/>
  </si>
  <si>
    <t>with positive labor earnings.  The only difference between the two assumptions just described is a difference between zero</t>
    <phoneticPr fontId="20" type="noConversion"/>
  </si>
  <si>
    <t xml:space="preserve">(current assumption) and near-zero property earnings(earlier assumption) for their households.  </t>
    <phoneticPr fontId="20" type="noConversion"/>
  </si>
  <si>
    <t>AVE. GROSS NIPA PROPERTY INCOME PER HOUSEHOLD</t>
    <phoneticPr fontId="20" type="noConversion"/>
  </si>
  <si>
    <t>Free HHs with property</t>
    <phoneticPr fontId="20" type="noConversion"/>
  </si>
  <si>
    <t>•• NON-HEADS IMPORTED BY HOUSEHOLDS</t>
    <phoneticPr fontId="20" type="noConversion"/>
  </si>
  <si>
    <t xml:space="preserve">  ==&gt;</t>
    <phoneticPr fontId="20" type="noConversion"/>
  </si>
  <si>
    <t>All</t>
    <phoneticPr fontId="20" type="noConversion"/>
  </si>
  <si>
    <t>Slave annual earnings: Derived as free labor force average location/occupation earnings times the assumed slave retention rate (see " Slave earnings divided"</t>
    <phoneticPr fontId="20" type="noConversion"/>
  </si>
  <si>
    <r>
      <t xml:space="preserve">This guess seems consistent with the age and sex distributions given for slves in Maryland, New Jersey, and New York around 1774 (in </t>
    </r>
    <r>
      <rPr>
        <i/>
        <sz val="12"/>
        <rFont val="Arial"/>
      </rPr>
      <t>HSUS Millennial</t>
    </r>
    <r>
      <rPr>
        <sz val="12"/>
        <rFont val="Arial"/>
      </rPr>
      <t>).</t>
    </r>
    <phoneticPr fontId="20" type="noConversion"/>
  </si>
  <si>
    <t>sterling (UK)</t>
  </si>
  <si>
    <t>Artisans (manufacturing trades)</t>
    <phoneticPr fontId="20" type="noConversion"/>
  </si>
  <si>
    <t>(Matches Panel (L.) on Worksheet (2).)</t>
    <phoneticPr fontId="20" type="noConversion"/>
  </si>
  <si>
    <t>Totals for this Philadelphia sub-sample</t>
    <phoneticPr fontId="20" type="noConversion"/>
  </si>
  <si>
    <t>INEQUALITY AMONG FREE HOUSEHOLDS</t>
    <phoneticPr fontId="20" type="noConversion"/>
  </si>
  <si>
    <t>Occupational group</t>
    <phoneticPr fontId="20" type="noConversion"/>
  </si>
  <si>
    <t>All free households</t>
    <phoneticPr fontId="20" type="noConversion"/>
  </si>
  <si>
    <t>*See "Sources &amp; notes" worksheet for the colony-specific exchange rates.</t>
    <phoneticPr fontId="20" type="noConversion"/>
  </si>
  <si>
    <t>(rural only)</t>
  </si>
  <si>
    <t>% error</t>
    <phoneticPr fontId="20" type="noConversion"/>
  </si>
  <si>
    <t>Free</t>
  </si>
  <si>
    <t>Total</t>
  </si>
  <si>
    <t>worker can be in a farmer's household, and a farm worker in a</t>
    <phoneticPr fontId="20" type="noConversion"/>
  </si>
  <si>
    <t xml:space="preserve">non-farmer's household.  </t>
    <phoneticPr fontId="20" type="noConversion"/>
  </si>
  <si>
    <t>LABOR FORCE</t>
    <phoneticPr fontId="20" type="noConversion"/>
  </si>
  <si>
    <t>From "Wage data" via "Own-labor incomes 1774"</t>
    <phoneticPr fontId="20" type="noConversion"/>
  </si>
  <si>
    <t>This (B.) panel re-checked against "Own-Labor</t>
    <phoneticPr fontId="20" type="noConversion"/>
  </si>
  <si>
    <t>These match the total LF numbers</t>
    <phoneticPr fontId="20" type="noConversion"/>
  </si>
  <si>
    <t>in the "Own-labor incomes 1774" file</t>
    <phoneticPr fontId="20" type="noConversion"/>
  </si>
  <si>
    <t>Charleston)</t>
    <phoneticPr fontId="20" type="noConversion"/>
  </si>
  <si>
    <t>Group 6A</t>
    <phoneticPr fontId="20" type="noConversion"/>
  </si>
  <si>
    <t>Unskilled male workers</t>
    <phoneticPr fontId="20" type="noConversion"/>
  </si>
  <si>
    <t>(See note at the bottom of these columns.)</t>
    <phoneticPr fontId="20" type="noConversion"/>
  </si>
  <si>
    <t>Check:</t>
    <phoneticPr fontId="20" type="noConversion"/>
  </si>
  <si>
    <t>incomes 1774 d" file, 23 apr'2011. No changes.</t>
    <phoneticPr fontId="20" type="noConversion"/>
  </si>
  <si>
    <t>Slaves ages 10 up, retained earnings*</t>
  </si>
  <si>
    <t>Free HHs with property</t>
    <phoneticPr fontId="20" type="noConversion"/>
  </si>
  <si>
    <t>For the skilled labor Group 4 in manufacturing and construction, we assume that property</t>
    <phoneticPr fontId="20" type="noConversion"/>
  </si>
  <si>
    <t>"North" = New</t>
    <phoneticPr fontId="20" type="noConversion"/>
  </si>
  <si>
    <t>Group 19</t>
    <phoneticPr fontId="20" type="noConversion"/>
  </si>
  <si>
    <t>Total</t>
    <phoneticPr fontId="20" type="noConversion"/>
  </si>
  <si>
    <t>Ditto,</t>
    <phoneticPr fontId="20" type="noConversion"/>
  </si>
  <si>
    <t>free</t>
    <phoneticPr fontId="20" type="noConversion"/>
  </si>
  <si>
    <t>income share</t>
    <phoneticPr fontId="20" type="noConversion"/>
  </si>
  <si>
    <t>The</t>
    <phoneticPr fontId="20" type="noConversion"/>
  </si>
  <si>
    <t>Merchant &amp; shopkeepers</t>
    <phoneticPr fontId="20" type="noConversion"/>
  </si>
  <si>
    <t>Group 4A</t>
    <phoneticPr fontId="20" type="noConversion"/>
  </si>
  <si>
    <t>Merchant &amp; shopkeepers</t>
    <phoneticPr fontId="20" type="noConversion"/>
  </si>
  <si>
    <t>Eng + Middle together</t>
    <phoneticPr fontId="20" type="noConversion"/>
  </si>
  <si>
    <t>Income ratio,</t>
    <phoneticPr fontId="20" type="noConversion"/>
  </si>
  <si>
    <t>South/North</t>
    <phoneticPr fontId="20" type="noConversion"/>
  </si>
  <si>
    <r>
      <t>(C.) Occupation Notes</t>
    </r>
    <r>
      <rPr>
        <sz val="12"/>
        <rFont val="Arial"/>
      </rPr>
      <t>:</t>
    </r>
    <phoneticPr fontId="20" type="noConversion"/>
  </si>
  <si>
    <t>Reminder: No error ranges are given here, and of course the figures are not imagined to be accurate to the last digit.</t>
    <phoneticPr fontId="20" type="noConversion"/>
  </si>
  <si>
    <t>to gini</t>
    <phoneticPr fontId="20" type="noConversion"/>
  </si>
  <si>
    <t>Group 5E</t>
  </si>
  <si>
    <t>$</t>
    <phoneticPr fontId="20" type="noConversion"/>
  </si>
  <si>
    <r>
      <t>(B.) Labor force</t>
    </r>
    <r>
      <rPr>
        <sz val="12"/>
        <rFont val="Arial"/>
      </rPr>
      <t xml:space="preserve">: Lindert-Williamson estimates, in the "1774 occupations by region" Excel file, January 2011. Based on the colonial censuses in </t>
    </r>
    <r>
      <rPr>
        <i/>
        <sz val="12"/>
        <rFont val="Arial"/>
      </rPr>
      <t>Historical Statistics,</t>
    </r>
    <r>
      <rPr>
        <sz val="12"/>
        <rFont val="Arial"/>
      </rPr>
      <t xml:space="preserve"> </t>
    </r>
    <phoneticPr fontId="20" type="noConversion"/>
  </si>
  <si>
    <t>MD white female servants</t>
    <phoneticPr fontId="20" type="noConversion"/>
  </si>
  <si>
    <t>Top 20%:</t>
  </si>
  <si>
    <t>New Eng</t>
    <phoneticPr fontId="20" type="noConversion"/>
  </si>
  <si>
    <t>rural, towns</t>
  </si>
  <si>
    <t>Boston</t>
  </si>
  <si>
    <t>Out of 575 fuller-record households,</t>
    <phoneticPr fontId="20" type="noConversion"/>
  </si>
  <si>
    <t>The previous-step files leading to this one = "Own-Labor Incomes 1774" and the three "Aggreg Property 1774 [New England, Mid Col's, South]" files.</t>
    <phoneticPr fontId="20" type="noConversion"/>
  </si>
  <si>
    <t>(Boston,</t>
    <phoneticPr fontId="20" type="noConversion"/>
  </si>
  <si>
    <t>Group 4A</t>
    <phoneticPr fontId="20" type="noConversion"/>
  </si>
  <si>
    <t>% share</t>
    <phoneticPr fontId="20" type="noConversion"/>
  </si>
  <si>
    <t>Group 8</t>
    <phoneticPr fontId="20" type="noConversion"/>
  </si>
  <si>
    <t>Landholders (assumed to be part of the farm population)</t>
    <phoneticPr fontId="20" type="noConversion"/>
  </si>
  <si>
    <t>from the "Own-Labor Incomes 1774" file -&gt;</t>
    <phoneticPr fontId="20" type="noConversion"/>
  </si>
  <si>
    <t>Farm operators - all, New York</t>
  </si>
  <si>
    <t>rural, towns</t>
    <phoneticPr fontId="20" type="noConversion"/>
  </si>
  <si>
    <t>NYC, Philly</t>
    <phoneticPr fontId="20" type="noConversion"/>
  </si>
  <si>
    <t>Region</t>
    <phoneticPr fontId="20" type="noConversion"/>
  </si>
  <si>
    <t>rural</t>
    <phoneticPr fontId="20" type="noConversion"/>
  </si>
  <si>
    <t>Groups</t>
    <phoneticPr fontId="20" type="noConversion"/>
  </si>
  <si>
    <t>Group definition</t>
    <phoneticPr fontId="20" type="noConversion"/>
  </si>
  <si>
    <t>been corrected for the slight changes in the slave HH numbers.  The 13-colony aggregates on worksheet (7) have already been corrected, however.]</t>
    <phoneticPr fontId="20" type="noConversion"/>
  </si>
  <si>
    <t xml:space="preserve"> &lt;- from the "Own-Labor Incomes 1774" file</t>
    <phoneticPr fontId="20" type="noConversion"/>
  </si>
  <si>
    <t>was</t>
    <phoneticPr fontId="20" type="noConversion"/>
  </si>
  <si>
    <t>(AL29-AL42)/(AC29-AC42)</t>
    <phoneticPr fontId="20" type="noConversion"/>
  </si>
  <si>
    <t>August 2012: Adjusted to assume no depre-</t>
    <phoneticPr fontId="20" type="noConversion"/>
  </si>
  <si>
    <t>Special assumption about average property income:</t>
    <phoneticPr fontId="20" type="noConversion"/>
  </si>
  <si>
    <t>colonies</t>
    <phoneticPr fontId="20" type="noConversion"/>
  </si>
  <si>
    <t>Four</t>
    <phoneticPr fontId="20" type="noConversion"/>
  </si>
  <si>
    <t>Female HHs w/wealth, no occ stated</t>
    <phoneticPr fontId="20" type="noConversion"/>
  </si>
  <si>
    <t>All free HHs</t>
    <phoneticPr fontId="20" type="noConversion"/>
  </si>
  <si>
    <t>South</t>
  </si>
  <si>
    <r>
      <t>EXTRA EARNERS IMPORTED</t>
    </r>
    <r>
      <rPr>
        <sz val="12"/>
        <rFont val="Arial"/>
      </rPr>
      <t xml:space="preserve"> (using assumptions described in the "sources and notes" note (G.).)</t>
    </r>
    <phoneticPr fontId="20" type="noConversion"/>
  </si>
  <si>
    <t>Free LF imports = sum of LF-HH, whole place</t>
    <phoneticPr fontId="20" type="noConversion"/>
  </si>
  <si>
    <t>Adult male</t>
    <phoneticPr fontId="20" type="noConversion"/>
  </si>
  <si>
    <t>Adult female</t>
    <phoneticPr fontId="20" type="noConversion"/>
  </si>
  <si>
    <t>Single white males, 21 years and older</t>
    <phoneticPr fontId="20" type="noConversion"/>
  </si>
  <si>
    <t xml:space="preserve">imported into free families is the same for all free families in that place.  We assume no correlation between earning power of </t>
    <phoneticPr fontId="20" type="noConversion"/>
  </si>
  <si>
    <t>and towns</t>
    <phoneticPr fontId="20" type="noConversion"/>
  </si>
  <si>
    <t>13 Colonies</t>
    <phoneticPr fontId="20" type="noConversion"/>
  </si>
  <si>
    <t>again</t>
    <phoneticPr fontId="20" type="noConversion"/>
  </si>
  <si>
    <t>HHs + Ms =</t>
    <phoneticPr fontId="20" type="noConversion"/>
  </si>
  <si>
    <t>South</t>
    <phoneticPr fontId="20" type="noConversion"/>
  </si>
  <si>
    <t>Group 8</t>
    <phoneticPr fontId="20" type="noConversion"/>
  </si>
  <si>
    <t xml:space="preserve">Thus in terms of income per LF member, the </t>
    <phoneticPr fontId="20" type="noConversion"/>
  </si>
  <si>
    <t>This file is a building block in estimating total incomes, from property as well as from own-labor sources, in the "Total incomes 1774" file.</t>
    <phoneticPr fontId="20" type="noConversion"/>
  </si>
  <si>
    <t>All 13 col's</t>
    <phoneticPr fontId="20" type="noConversion"/>
  </si>
  <si>
    <t>Rates of imported LF per household</t>
    <phoneticPr fontId="20" type="noConversion"/>
  </si>
  <si>
    <t>Males 13-21</t>
    <phoneticPr fontId="20" type="noConversion"/>
  </si>
  <si>
    <t>Fem 13-18</t>
    <phoneticPr fontId="20" type="noConversion"/>
  </si>
  <si>
    <t>Colonies</t>
    <phoneticPr fontId="20" type="noConversion"/>
  </si>
  <si>
    <t>Farm operators - 40th-79th%</t>
  </si>
  <si>
    <t>Farm operators - next 18%</t>
  </si>
  <si>
    <t>INEQUALITY AMONG ALL HOUSEHOLDS</t>
    <phoneticPr fontId="20" type="noConversion"/>
  </si>
  <si>
    <t>check HHs + Xs =</t>
    <phoneticPr fontId="20" type="noConversion"/>
  </si>
  <si>
    <t>Farm operators - top 2% in property</t>
  </si>
  <si>
    <t>NYC, Philly</t>
  </si>
  <si>
    <t>*Slaves ages 10 up, retained earnings</t>
  </si>
  <si>
    <t>Charleston</t>
  </si>
  <si>
    <t>Group 2-3</t>
  </si>
  <si>
    <t>All</t>
    <phoneticPr fontId="20" type="noConversion"/>
  </si>
  <si>
    <t>It seems plausible that the household headship rate could have been 35 percent of those over 10.</t>
    <phoneticPr fontId="20" type="noConversion"/>
  </si>
  <si>
    <t>From the three files "Aggreg Property 1774 [name of region]"</t>
    <phoneticPr fontId="20" type="noConversion"/>
  </si>
  <si>
    <t>For other, more narrowly focused, assumptions about earnings, see the accompanying worksheets.  Example: For New England or for Middle Colonies, the undocumented</t>
    <phoneticPr fontId="20" type="noConversion"/>
  </si>
  <si>
    <r>
      <t>(F.) Slave headship rates</t>
    </r>
    <r>
      <rPr>
        <sz val="12"/>
        <rFont val="Arial"/>
      </rPr>
      <t>:  Worksheet (2) assumed that of the slave population over age 10, which is also used as the slave labor force, 35 percent were household heads.</t>
    </r>
    <phoneticPr fontId="20" type="noConversion"/>
  </si>
  <si>
    <t>Revised aug 2012</t>
    <phoneticPr fontId="20" type="noConversion"/>
  </si>
  <si>
    <t>Group 918A</t>
    <phoneticPr fontId="20" type="noConversion"/>
  </si>
  <si>
    <t>Williamson</t>
    <phoneticPr fontId="20" type="noConversion"/>
  </si>
  <si>
    <t>error check =</t>
    <phoneticPr fontId="20" type="noConversion"/>
  </si>
  <si>
    <t>Group 9</t>
    <phoneticPr fontId="20" type="noConversion"/>
  </si>
  <si>
    <t>Group 7</t>
    <phoneticPr fontId="20" type="noConversion"/>
  </si>
  <si>
    <t>Philadelphia,</t>
    <phoneticPr fontId="20" type="noConversion"/>
  </si>
  <si>
    <t>Group 1</t>
    <phoneticPr fontId="20" type="noConversion"/>
  </si>
  <si>
    <t>(6) Size distribution of total incomes in the South in 1774</t>
    <phoneticPr fontId="20" type="noConversion"/>
  </si>
  <si>
    <t>LF</t>
    <phoneticPr fontId="20" type="noConversion"/>
  </si>
  <si>
    <t>labor force</t>
    <phoneticPr fontId="20" type="noConversion"/>
  </si>
  <si>
    <t>Number of</t>
    <phoneticPr fontId="20" type="noConversion"/>
  </si>
  <si>
    <t>Group 5</t>
    <phoneticPr fontId="20" type="noConversion"/>
  </si>
  <si>
    <t>Farm operators' individual earnings</t>
    <phoneticPr fontId="20" type="noConversion"/>
  </si>
  <si>
    <t>Total labor force</t>
    <phoneticPr fontId="20" type="noConversion"/>
  </si>
  <si>
    <t>Groups 2-3</t>
    <phoneticPr fontId="20" type="noConversion"/>
  </si>
  <si>
    <t>Farm operators</t>
    <phoneticPr fontId="20" type="noConversion"/>
  </si>
  <si>
    <t>Pennsylvania</t>
  </si>
  <si>
    <t>Virginia</t>
  </si>
  <si>
    <t>dollars</t>
  </si>
  <si>
    <t>Group 4B</t>
    <phoneticPr fontId="20" type="noConversion"/>
  </si>
  <si>
    <t>NON-HEADS BEING EXPORTED</t>
    <phoneticPr fontId="20" type="noConversion"/>
  </si>
  <si>
    <t>Big</t>
    <phoneticPr fontId="20" type="noConversion"/>
  </si>
  <si>
    <t>All</t>
    <phoneticPr fontId="20" type="noConversion"/>
  </si>
  <si>
    <t>North</t>
  </si>
  <si>
    <t>(C.) The heads' own total $ earnings</t>
    <phoneticPr fontId="20" type="noConversion"/>
  </si>
  <si>
    <t>RANKED BY</t>
    <phoneticPr fontId="20" type="noConversion"/>
  </si>
  <si>
    <t>Average</t>
    <phoneticPr fontId="20" type="noConversion"/>
  </si>
  <si>
    <t>Unskilled female workers</t>
    <phoneticPr fontId="20" type="noConversion"/>
  </si>
  <si>
    <t>(See "sources &amp; notes" worksheet for assumption about who lived with whom.)</t>
    <phoneticPr fontId="20" type="noConversion"/>
  </si>
  <si>
    <t>Top 10%:</t>
  </si>
  <si>
    <t>Group 4A</t>
    <phoneticPr fontId="20" type="noConversion"/>
  </si>
  <si>
    <t>Mass</t>
  </si>
  <si>
    <r>
      <t>(E.) Slave earnings</t>
    </r>
    <r>
      <rPr>
        <sz val="12"/>
        <rFont val="Arial"/>
      </rPr>
      <t>:</t>
    </r>
    <phoneticPr fontId="20" type="noConversion"/>
  </si>
  <si>
    <t>(Assume the exported non-HHs have the same average rates of earnings</t>
    <phoneticPr fontId="20" type="noConversion"/>
  </si>
  <si>
    <t>Unskilled female workers</t>
    <phoneticPr fontId="20" type="noConversion"/>
  </si>
  <si>
    <t>Group 7</t>
    <phoneticPr fontId="20" type="noConversion"/>
  </si>
  <si>
    <t>Slave LF, HH revised.</t>
    <phoneticPr fontId="20" type="noConversion"/>
  </si>
  <si>
    <t xml:space="preserve">the household head and the earning power of the non-head LF participants.  </t>
    <phoneticPr fontId="20" type="noConversion"/>
  </si>
  <si>
    <t xml:space="preserve">vs. </t>
    <phoneticPr fontId="20" type="noConversion"/>
  </si>
  <si>
    <t>of silver</t>
  </si>
  <si>
    <t>(P11-P10)*(P11-Q11+P10-Q10)</t>
    <phoneticPr fontId="20" type="noConversion"/>
  </si>
  <si>
    <t>Group 919</t>
    <phoneticPr fontId="20" type="noConversion"/>
  </si>
  <si>
    <t>Group 2</t>
    <phoneticPr fontId="20" type="noConversion"/>
  </si>
  <si>
    <t>Group 3</t>
    <phoneticPr fontId="20" type="noConversion"/>
  </si>
  <si>
    <t>Sources and notes to the "Total incomes 1774" file</t>
    <phoneticPr fontId="20" type="noConversion"/>
  </si>
  <si>
    <t>average earnings for white-collar groups in rural areas were assumed to equal the documented earnings of the same groups in small cities of each same region.</t>
    <phoneticPr fontId="20" type="noConversion"/>
  </si>
  <si>
    <t>In the Middle Colonies, there were only 1.26 LF members</t>
    <phoneticPr fontId="20" type="noConversion"/>
  </si>
  <si>
    <t>Group 2-3</t>
    <phoneticPr fontId="20" type="noConversion"/>
  </si>
  <si>
    <t>free, prop</t>
    <phoneticPr fontId="20" type="noConversion"/>
  </si>
  <si>
    <t>ciation on crops or producer perishables</t>
    <phoneticPr fontId="20" type="noConversion"/>
  </si>
  <si>
    <t>August 2012: Adjusted to assume no depre-</t>
    <phoneticPr fontId="20" type="noConversion"/>
  </si>
  <si>
    <t>ciation on crops or producer perishables</t>
    <phoneticPr fontId="20" type="noConversion"/>
  </si>
  <si>
    <t>Total</t>
    <phoneticPr fontId="20" type="noConversion"/>
  </si>
  <si>
    <t>All</t>
    <phoneticPr fontId="20" type="noConversion"/>
  </si>
  <si>
    <t>thirteen</t>
    <phoneticPr fontId="20" type="noConversion"/>
  </si>
  <si>
    <r>
      <t>(D.) 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0" type="noConversion"/>
  </si>
  <si>
    <t>(Q11-Q10)*(Q11-R11+Q10-R10)</t>
    <phoneticPr fontId="20" type="noConversion"/>
  </si>
  <si>
    <t>Ave income</t>
    <phoneticPr fontId="20" type="noConversion"/>
  </si>
  <si>
    <t>The sets of columns here, each in the format "persons, average earnings, total earnings":</t>
    <phoneticPr fontId="20" type="noConversion"/>
  </si>
  <si>
    <t>[For £ sterling,</t>
    <phoneticPr fontId="20" type="noConversion"/>
  </si>
  <si>
    <t>divide $ by 4.44.]</t>
    <phoneticPr fontId="20" type="noConversion"/>
  </si>
  <si>
    <t>Officials, titled, professions</t>
  </si>
  <si>
    <t>Thirteen</t>
    <phoneticPr fontId="20" type="noConversion"/>
  </si>
  <si>
    <t>rural</t>
    <phoneticPr fontId="20" type="noConversion"/>
  </si>
  <si>
    <t>prop income</t>
    <phoneticPr fontId="20" type="noConversion"/>
  </si>
  <si>
    <t>Ranking by total income per HH</t>
    <phoneticPr fontId="20" type="noConversion"/>
  </si>
  <si>
    <t>INEQUALITY AMONG ALL HOUSEHOLDS</t>
    <phoneticPr fontId="20" type="noConversion"/>
  </si>
  <si>
    <t>households</t>
    <phoneticPr fontId="20" type="noConversion"/>
  </si>
  <si>
    <t>income</t>
    <phoneticPr fontId="20" type="noConversion"/>
  </si>
  <si>
    <t>Total own-</t>
  </si>
  <si>
    <t>Household heads</t>
    <phoneticPr fontId="20" type="noConversion"/>
  </si>
  <si>
    <t>Imported</t>
    <phoneticPr fontId="20" type="noConversion"/>
  </si>
  <si>
    <t>OWN-LABOR EARNINGS</t>
    <phoneticPr fontId="20" type="noConversion"/>
  </si>
  <si>
    <t>(D1.) Labor force (LF), by their own occupations</t>
    <phoneticPr fontId="20" type="noConversion"/>
  </si>
  <si>
    <r>
      <t>(G.) Exchange rates for converting colony-specific £sd into the dollars shown here</t>
    </r>
    <r>
      <rPr>
        <sz val="12"/>
        <rFont val="Arial"/>
      </rPr>
      <t>:</t>
    </r>
    <phoneticPr fontId="20" type="noConversion"/>
  </si>
  <si>
    <t>in July-August 2012</t>
    <phoneticPr fontId="20" type="noConversion"/>
  </si>
  <si>
    <t>Adjusted Aug'12</t>
    <phoneticPr fontId="20" type="noConversion"/>
  </si>
  <si>
    <t>from the "Own-Labor Incomes 1774" file.</t>
    <phoneticPr fontId="20" type="noConversion"/>
  </si>
  <si>
    <t>only</t>
    <phoneticPr fontId="20" type="noConversion"/>
  </si>
  <si>
    <t>All-occ totals are zero, as they should be.</t>
    <phoneticPr fontId="20" type="noConversion"/>
  </si>
  <si>
    <t>It is also approximately the share of the over-10 slve population that were males over 21 on small plantations in Prince Groege's County Maryland in 1776.</t>
    <phoneticPr fontId="20" type="noConversion"/>
  </si>
  <si>
    <r>
      <t xml:space="preserve">According to Allan Kulikoff, </t>
    </r>
    <r>
      <rPr>
        <i/>
        <sz val="12"/>
        <rFont val="Arial"/>
      </rPr>
      <t>Tobacco and Slaves</t>
    </r>
    <r>
      <rPr>
        <sz val="12"/>
        <rFont val="Arial"/>
      </rPr>
      <t xml:space="preserve"> (1986, p. 372), the share of those over 10 who were males over 15 was 38.6 percent.  </t>
    </r>
    <phoneticPr fontId="20" type="noConversion"/>
  </si>
  <si>
    <t>Reminder from the "Occ's 1774" file: These group by HH's occ,</t>
    <phoneticPr fontId="20" type="noConversion"/>
  </si>
  <si>
    <t>Reminder: These are incomes per household,</t>
    <phoneticPr fontId="20" type="noConversion"/>
  </si>
  <si>
    <t>Lindert-</t>
    <phoneticPr fontId="20" type="noConversion"/>
  </si>
  <si>
    <t>$/HH-year</t>
    <phoneticPr fontId="20" type="noConversion"/>
  </si>
  <si>
    <t>$/year</t>
    <phoneticPr fontId="20" type="noConversion"/>
  </si>
  <si>
    <t>HH share</t>
    <phoneticPr fontId="20" type="noConversion"/>
  </si>
  <si>
    <t>cities</t>
    <phoneticPr fontId="20" type="noConversion"/>
  </si>
  <si>
    <t>Big</t>
    <phoneticPr fontId="20" type="noConversion"/>
  </si>
  <si>
    <t>All</t>
    <phoneticPr fontId="20" type="noConversion"/>
  </si>
  <si>
    <t>Big</t>
    <phoneticPr fontId="20" type="noConversion"/>
  </si>
  <si>
    <t>Assume that of the adult farm females reported by Simler, 5% were household heads, a share near the headship rates for the probate records and in the 1800 labor force calculations by Thomas Weiss.</t>
    <phoneticPr fontId="20" type="noConversion"/>
  </si>
  <si>
    <t>labor earnings</t>
  </si>
  <si>
    <t>Total labor force</t>
    <phoneticPr fontId="20"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</si>
  <si>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0" type="noConversion"/>
  </si>
  <si>
    <t>Group 5A</t>
    <phoneticPr fontId="20" type="noConversion"/>
  </si>
  <si>
    <t>Median $:</t>
    <phoneticPr fontId="20" type="noConversion"/>
  </si>
  <si>
    <t>All these groups, assumed to be farms</t>
    <phoneticPr fontId="20" type="noConversion"/>
  </si>
  <si>
    <t>income</t>
    <phoneticPr fontId="20" type="noConversion"/>
  </si>
  <si>
    <t>PROPERTY INCOME</t>
    <phoneticPr fontId="20" type="noConversion"/>
  </si>
  <si>
    <r>
      <t>See also Lawrence Officer's Series Ee612-Ee620 in Carter </t>
    </r>
    <r>
      <rPr>
        <i/>
        <sz val="12"/>
        <rFont val="Arial"/>
      </rPr>
      <t>et al., Historical Statistics of the United States (2006)</t>
    </r>
    <r>
      <rPr>
        <sz val="12"/>
        <rFont val="Arial"/>
      </rPr>
      <t>, volume 5, which gives</t>
    </r>
    <phoneticPr fontId="20" type="noConversion"/>
  </si>
  <si>
    <t>MD white male servants</t>
    <phoneticPr fontId="20" type="noConversion"/>
  </si>
  <si>
    <t>Unskilled male workers</t>
    <phoneticPr fontId="20" type="noConversion"/>
  </si>
  <si>
    <t>Group 6B</t>
    <phoneticPr fontId="20" type="noConversion"/>
  </si>
  <si>
    <t>England</t>
    <phoneticPr fontId="20" type="noConversion"/>
  </si>
  <si>
    <t>Next 40%:</t>
  </si>
  <si>
    <t>Bottom 40%:</t>
  </si>
  <si>
    <t>Median $:</t>
    <phoneticPr fontId="20" type="noConversion"/>
  </si>
  <si>
    <t>Mean $:</t>
    <phoneticPr fontId="20" type="noConversion"/>
  </si>
  <si>
    <t>Group 19</t>
    <phoneticPr fontId="20" type="noConversion"/>
  </si>
  <si>
    <t>Male HHs w/wealth, no occ stated</t>
    <phoneticPr fontId="20" type="noConversion"/>
  </si>
  <si>
    <t>(4) Size distribution of total incomes in New England in 1774</t>
    <phoneticPr fontId="20" type="noConversion"/>
  </si>
  <si>
    <t>Group 9</t>
    <phoneticPr fontId="20" type="noConversion"/>
  </si>
  <si>
    <t>value of a £ of</t>
  </si>
  <si>
    <t>Cottagers, married</t>
    <phoneticPr fontId="20" type="noConversion"/>
  </si>
  <si>
    <t>Farm operators - 0-39th%</t>
  </si>
  <si>
    <t xml:space="preserve">3-col non-city farm op HHs = </t>
    <phoneticPr fontId="20" type="noConversion"/>
  </si>
  <si>
    <t xml:space="preserve">NY non-city farm op HHs = </t>
    <phoneticPr fontId="20" type="noConversion"/>
  </si>
  <si>
    <t>Adjustments for property incomes,</t>
    <phoneticPr fontId="20" type="noConversion"/>
  </si>
  <si>
    <t>free</t>
    <phoneticPr fontId="20" type="noConversion"/>
  </si>
  <si>
    <t>all</t>
    <phoneticPr fontId="20" type="noConversion"/>
  </si>
  <si>
    <t xml:space="preserve">[Note: For the Middle colonies, the gini coefficient and Lorenz-curve shares calculated on this worksheet have not yet </t>
    <phoneticPr fontId="20" type="noConversion"/>
  </si>
  <si>
    <t>implied by other authors for 1774? Provisionally, we set £1 sterling = $4.44 in 1774.</t>
    <phoneticPr fontId="20" type="noConversion"/>
  </si>
  <si>
    <t>AVERAGE OWN-LABOR EARNINGS PER HH, in $*</t>
    <phoneticPr fontId="20" type="noConversion"/>
  </si>
  <si>
    <t xml:space="preserve"> = HHs + Xs</t>
    <phoneticPr fontId="20" type="noConversion"/>
  </si>
  <si>
    <t>$M-$X =</t>
    <phoneticPr fontId="20" type="noConversion"/>
  </si>
  <si>
    <t>(H.) Assumptions about the non-head earners "imported" or "taken into" the households of others</t>
    <phoneticPr fontId="20" type="noConversion"/>
  </si>
  <si>
    <t>(I.) Special assumptions about average property income:</t>
    <phoneticPr fontId="20" type="noConversion"/>
  </si>
  <si>
    <t>Free</t>
    <phoneticPr fontId="20" type="noConversion"/>
  </si>
  <si>
    <t>Thus for slaves, it includes only what they retained, and not what the part of their earnings (or marginal product) that was expropriated by the owner or renter.</t>
    <phoneticPr fontId="20" type="noConversion"/>
  </si>
  <si>
    <t>[For £ sterling, divide by $4.44/£.]</t>
    <phoneticPr fontId="20" type="noConversion"/>
  </si>
  <si>
    <t>HHs</t>
    <phoneticPr fontId="20" type="noConversion"/>
  </si>
  <si>
    <t>What one unit of each colony's currency was worth in 1774 --</t>
  </si>
  <si>
    <t>Each of these implies an average devaluation of the 1774 colonial currency when combined with Alice's US$4.15 per local (inter-) colonial pounds.  </t>
    <phoneticPr fontId="20" type="noConversion"/>
  </si>
  <si>
    <t>HH =</t>
    <phoneticPr fontId="20" type="noConversion"/>
  </si>
  <si>
    <t>Non-HH labor force</t>
    <phoneticPr fontId="20" type="noConversion"/>
  </si>
  <si>
    <t>If this cannot be sustained, then the average colonial pound might have been worth more than the $4.14 Jones implies.  Perhaps closer to the $4.444</t>
    <phoneticPr fontId="20" type="noConversion"/>
  </si>
  <si>
    <t>Contrib's</t>
    <phoneticPr fontId="20" type="noConversion"/>
  </si>
  <si>
    <t>HOUSEHOLD HEADS (HHs) BY THEMSELVES</t>
    <phoneticPr fontId="20" type="noConversion"/>
  </si>
  <si>
    <t>TOTAL INCOME</t>
    <phoneticPr fontId="20" type="noConversion"/>
  </si>
  <si>
    <r>
      <t>Millennial Edition</t>
    </r>
    <r>
      <rPr>
        <sz val="12"/>
        <rFont val="Arial"/>
      </rPr>
      <t xml:space="preserve"> (2006), interpolating from the US censuses of 1790 and 1800, and on Thomas Weiss's estimates of labor force participation rates.</t>
    </r>
    <phoneticPr fontId="20" type="noConversion"/>
  </si>
  <si>
    <t>MD white male servants</t>
    <phoneticPr fontId="20" type="noConversion"/>
  </si>
  <si>
    <t>Group 18B</t>
    <phoneticPr fontId="20" type="noConversion"/>
  </si>
  <si>
    <t>MD white female servants</t>
    <phoneticPr fontId="20" type="noConversion"/>
  </si>
  <si>
    <t>labor force</t>
    <phoneticPr fontId="20" type="noConversion"/>
  </si>
  <si>
    <t>LF</t>
    <phoneticPr fontId="20" type="noConversion"/>
  </si>
  <si>
    <t>Region</t>
    <phoneticPr fontId="20" type="noConversion"/>
  </si>
  <si>
    <t>rural</t>
    <phoneticPr fontId="20" type="noConversion"/>
  </si>
  <si>
    <t>Groups</t>
    <phoneticPr fontId="20" type="noConversion"/>
  </si>
  <si>
    <t>Number of</t>
    <phoneticPr fontId="20" type="noConversion"/>
  </si>
  <si>
    <t>% share</t>
    <phoneticPr fontId="20" type="noConversion"/>
  </si>
  <si>
    <t>Contrib's</t>
    <phoneticPr fontId="20" type="noConversion"/>
  </si>
  <si>
    <t>Gini =</t>
    <phoneticPr fontId="20" type="noConversion"/>
  </si>
  <si>
    <t>Memo: (Net LF imports) per HH of this occ</t>
    <phoneticPr fontId="20" type="noConversion"/>
  </si>
  <si>
    <t>Difference from Worksheet (2)</t>
    <phoneticPr fontId="20" type="noConversion"/>
  </si>
  <si>
    <t>Middle</t>
    <phoneticPr fontId="20" type="noConversion"/>
  </si>
  <si>
    <t>(3) For each region and urban/rural (e.g. New England big cities, or rural South), the non-heads and their individual earnings are absorbed into the same region and place.</t>
    <phoneticPr fontId="20" type="noConversion"/>
  </si>
  <si>
    <t>Female</t>
    <phoneticPr fontId="20" type="noConversion"/>
  </si>
  <si>
    <t>Both</t>
    <phoneticPr fontId="20" type="noConversion"/>
  </si>
  <si>
    <t>to gini</t>
    <phoneticPr fontId="20" type="noConversion"/>
  </si>
  <si>
    <t>Re-checking farm operators' LF by persons' OWN occ's (Variant B)</t>
    <phoneticPr fontId="20" type="noConversion"/>
  </si>
  <si>
    <t>New York,</t>
    <phoneticPr fontId="20" type="noConversion"/>
  </si>
  <si>
    <t>Mean $:</t>
    <phoneticPr fontId="20" type="noConversion"/>
  </si>
  <si>
    <t>Re-checking labor force in farmer-headed households (urban + rural)</t>
    <phoneticPr fontId="20" type="noConversion"/>
  </si>
  <si>
    <t>South</t>
    <phoneticPr fontId="20" type="noConversion"/>
  </si>
  <si>
    <t>participants</t>
    <phoneticPr fontId="20" type="noConversion"/>
  </si>
  <si>
    <t>households</t>
    <phoneticPr fontId="20" type="noConversion"/>
  </si>
  <si>
    <t>Zero-wealth free HHs</t>
    <phoneticPr fontId="20" type="noConversion"/>
  </si>
  <si>
    <t xml:space="preserve">the average household head with positive wealth in the same places, though the same assumption will not be made about their property incomes in the separate Excel files on "Aggregate Property 1774 [name of region]".  </t>
    <phoneticPr fontId="20" type="noConversion"/>
  </si>
  <si>
    <t>Philadelphia,</t>
    <phoneticPr fontId="20" type="noConversion"/>
  </si>
  <si>
    <t>LF per household</t>
    <phoneticPr fontId="20" type="noConversion"/>
  </si>
  <si>
    <t xml:space="preserve">Excluding </t>
    <phoneticPr fontId="20" type="noConversion"/>
  </si>
  <si>
    <t>Groups 2-3</t>
    <phoneticPr fontId="20" type="noConversion"/>
  </si>
  <si>
    <t>Vs. wksht (3)</t>
    <phoneticPr fontId="20" type="noConversion"/>
  </si>
  <si>
    <t>labor earnings</t>
    <phoneticPr fontId="20" type="noConversion"/>
  </si>
  <si>
    <t>Q10*(Q10-R10)</t>
    <phoneticPr fontId="20" type="noConversion"/>
  </si>
  <si>
    <t>(E.) The exported non-heads' average earnings</t>
    <phoneticPr fontId="20" type="noConversion"/>
  </si>
  <si>
    <t>Officials, titled, professions**</t>
    <phoneticPr fontId="20" type="noConversion"/>
  </si>
  <si>
    <t>The labor force counts are from the file "1774 occs by Region", Worksheet (4), using the Variant B assumptions about the occupations of non-hoursehold heads.</t>
    <phoneticPr fontId="20" type="noConversion"/>
  </si>
  <si>
    <t>Group 5</t>
    <phoneticPr fontId="20" type="noConversion"/>
  </si>
  <si>
    <t>(Derived in the file "1774 occs by Region", Worksheet (4),</t>
    <phoneticPr fontId="20" type="noConversion"/>
  </si>
  <si>
    <t>Zero-wealth free HHs</t>
    <phoneticPr fontId="20" type="noConversion"/>
  </si>
  <si>
    <r>
      <t xml:space="preserve">This guess seems consistent with the age and sex distributions given for slaves in Maryland, New Jersey, and New York around 1774 (in </t>
    </r>
    <r>
      <rPr>
        <i/>
        <sz val="12"/>
        <rFont val="Arial"/>
      </rPr>
      <t>HSUS Millennial</t>
    </r>
    <r>
      <rPr>
        <sz val="12"/>
        <rFont val="Arial"/>
      </rPr>
      <t>).</t>
    </r>
    <phoneticPr fontId="20" type="noConversion"/>
  </si>
  <si>
    <t>Total labor force</t>
    <phoneticPr fontId="20" type="noConversion"/>
  </si>
  <si>
    <t>cities</t>
    <phoneticPr fontId="20" type="noConversion"/>
  </si>
  <si>
    <t>•• HOUSEHOLD HEADS BY THEMSELVES</t>
    <phoneticPr fontId="20" type="noConversion"/>
  </si>
  <si>
    <t xml:space="preserve">For the South, colonial censuses counted slaves at the all-colony level but not separately for cities (e.g. Charleston). </t>
    <phoneticPr fontId="20" type="noConversion"/>
  </si>
  <si>
    <t xml:space="preserve">4-col non-city farm op HHs = </t>
    <phoneticPr fontId="20" type="noConversion"/>
  </si>
  <si>
    <t xml:space="preserve">3-col non-city farm LF = </t>
    <phoneticPr fontId="20" type="noConversion"/>
  </si>
  <si>
    <t xml:space="preserve">NY non-city farm LF = </t>
    <phoneticPr fontId="20" type="noConversion"/>
  </si>
  <si>
    <t xml:space="preserve">4-col non-city farm LF = </t>
    <phoneticPr fontId="20" type="noConversion"/>
  </si>
  <si>
    <t>The number of farm operator HHs -&gt;</t>
    <phoneticPr fontId="20" type="noConversion"/>
  </si>
  <si>
    <t>not per capita or per member of LF</t>
    <phoneticPr fontId="20" type="noConversion"/>
  </si>
  <si>
    <t>Implied property income shares (%) of total income</t>
    <phoneticPr fontId="20" type="noConversion"/>
  </si>
  <si>
    <t>•• TOTAL RE-CONSTITUTED HOUSEHOLDS</t>
    <phoneticPr fontId="20" type="noConversion"/>
  </si>
  <si>
    <t>Thirteen</t>
    <phoneticPr fontId="20" type="noConversion"/>
  </si>
  <si>
    <t>from the "Own-Labor Incomes 1774" file</t>
    <phoneticPr fontId="20" type="noConversion"/>
  </si>
  <si>
    <t>of which, NY =</t>
    <phoneticPr fontId="20" type="noConversion"/>
  </si>
  <si>
    <t xml:space="preserve">If light weights were given to Massachusetts and Virginia, and heavy weights to NY and the Carolinas, the 0.93468 ratio implied by Jones might work.  </t>
  </si>
  <si>
    <t>Single white females, 21 years and older</t>
    <phoneticPr fontId="20" type="noConversion"/>
  </si>
  <si>
    <t>England</t>
    <phoneticPr fontId="20" type="noConversion"/>
  </si>
  <si>
    <t>Colonies</t>
    <phoneticPr fontId="20" type="noConversion"/>
  </si>
  <si>
    <t>(Fr worksheet (2), expanded for rural MCol's)</t>
    <phoneticPr fontId="20" type="noConversion"/>
  </si>
  <si>
    <t>(1) Slave non-heads are taken into slave households only, leaving household income the same as the retained earnings of all slaves.</t>
    <phoneticPr fontId="20" type="noConversion"/>
  </si>
  <si>
    <t>Maryland (hard)</t>
  </si>
  <si>
    <t>NC</t>
  </si>
  <si>
    <t>SC</t>
  </si>
  <si>
    <r>
      <t>RECONSTITUTED HOUSEHOLDS</t>
    </r>
    <r>
      <rPr>
        <sz val="12"/>
        <rFont val="Arial"/>
      </rPr>
      <t>, grouped by occ of HH, continued</t>
    </r>
    <phoneticPr fontId="20" type="noConversion"/>
  </si>
  <si>
    <t>participants</t>
    <phoneticPr fontId="20" type="noConversion"/>
  </si>
  <si>
    <t>Charleston</t>
    <phoneticPr fontId="20" type="noConversion"/>
  </si>
  <si>
    <t>% error</t>
  </si>
  <si>
    <t>Middle</t>
    <phoneticPr fontId="20" type="noConversion"/>
  </si>
  <si>
    <t>** For the Middle Colonies these rows refer only to New Jersey, Pennsylvania, and Delaware, and exclude New York.</t>
    <phoneticPr fontId="20" type="noConversion"/>
  </si>
  <si>
    <t>(5) Size distribution of total incomes in the four Middle Colonies in 1774</t>
    <phoneticPr fontId="20" type="noConversion"/>
  </si>
  <si>
    <t>New York,</t>
    <phoneticPr fontId="20" type="noConversion"/>
  </si>
  <si>
    <t>cities</t>
    <phoneticPr fontId="20" type="noConversion"/>
  </si>
  <si>
    <t>Group 1</t>
    <phoneticPr fontId="20" type="noConversion"/>
  </si>
  <si>
    <t>Groups 2-3</t>
    <phoneticPr fontId="20" type="noConversion"/>
  </si>
  <si>
    <t>(7) Size distribution of total incomes, All 13 colonies in 1774</t>
    <phoneticPr fontId="20" type="noConversion"/>
  </si>
  <si>
    <t>Work</t>
    <phoneticPr fontId="20" type="noConversion"/>
  </si>
  <si>
    <t>row</t>
    <phoneticPr fontId="20" type="noConversion"/>
  </si>
  <si>
    <t>* If it seems anomalous that the two groups of slave households</t>
    <phoneticPr fontId="20" type="noConversion"/>
  </si>
  <si>
    <t>(L.) Average own-labor earnings per household</t>
    <phoneticPr fontId="20" type="noConversion"/>
  </si>
  <si>
    <t>M-X =</t>
    <phoneticPr fontId="20" type="noConversion"/>
  </si>
  <si>
    <t>Delaware is included in the Middle Colonies, to be consistent with the Alice Hanson Jones regionalization of wealth.</t>
    <phoneticPr fontId="20" type="noConversion"/>
  </si>
  <si>
    <t>Artisans in manufacturing</t>
    <phoneticPr fontId="20" type="noConversion"/>
  </si>
  <si>
    <t>Buildings trades</t>
    <phoneticPr fontId="20" type="noConversion"/>
  </si>
  <si>
    <t>Merchant &amp; shopkeepers</t>
    <phoneticPr fontId="20" type="noConversion"/>
  </si>
  <si>
    <t xml:space="preserve">Rural </t>
    <phoneticPr fontId="20" type="noConversion"/>
  </si>
  <si>
    <t>(Boston,</t>
    <phoneticPr fontId="20" type="noConversion"/>
  </si>
  <si>
    <t>South</t>
    <phoneticPr fontId="20" type="noConversion"/>
  </si>
  <si>
    <t>Group definition</t>
    <phoneticPr fontId="20" type="noConversion"/>
  </si>
  <si>
    <t>South</t>
    <phoneticPr fontId="20" type="noConversion"/>
  </si>
  <si>
    <t>HH share</t>
    <phoneticPr fontId="20" type="noConversion"/>
  </si>
  <si>
    <t>income share</t>
    <phoneticPr fontId="20" type="noConversion"/>
  </si>
  <si>
    <t>Ave income</t>
    <phoneticPr fontId="20" type="noConversion"/>
  </si>
  <si>
    <t>$</t>
    <phoneticPr fontId="20" type="noConversion"/>
  </si>
  <si>
    <t>Using the "Variant B" occupational distributions from the Excel file "1774 occ's by region", re-constituted into households in worksheet (2) of this file.</t>
    <phoneticPr fontId="20" type="noConversion"/>
  </si>
  <si>
    <t>VALUE OF PROPERTY INCOME</t>
    <phoneticPr fontId="20" type="noConversion"/>
  </si>
  <si>
    <t>New</t>
    <phoneticPr fontId="20" type="noConversion"/>
  </si>
  <si>
    <t>Middle</t>
    <phoneticPr fontId="20" type="noConversion"/>
  </si>
  <si>
    <t xml:space="preserve">Rural </t>
  </si>
  <si>
    <t>and towns</t>
  </si>
  <si>
    <t>Artisans (manufacturing trades)</t>
    <phoneticPr fontId="20" type="noConversion"/>
  </si>
  <si>
    <t>NUMBERS OF HOUSEHOLDS</t>
    <phoneticPr fontId="20" type="noConversion"/>
  </si>
  <si>
    <t>Median $:</t>
    <phoneticPr fontId="20" type="noConversion"/>
  </si>
  <si>
    <t>Total own-</t>
    <phoneticPr fontId="20" type="noConversion"/>
  </si>
  <si>
    <t>and</t>
    <phoneticPr fontId="20" type="noConversion"/>
  </si>
  <si>
    <t>towns</t>
    <phoneticPr fontId="20" type="noConversion"/>
  </si>
  <si>
    <t>not by individual occ's of non-household heads.  Thus a non-farm</t>
    <phoneticPr fontId="20" type="noConversion"/>
  </si>
  <si>
    <t>•• NON-HEADS EXPORTED TO OTHER HOUSEHOLDS</t>
    <phoneticPr fontId="20" type="noConversion"/>
  </si>
  <si>
    <t>(D2.) Numbers of non-HHs, by their own occupations</t>
    <phoneticPr fontId="20" type="noConversion"/>
  </si>
  <si>
    <t>[NB: Median &gt; mean here.  Reverse skewing.]</t>
    <phoneticPr fontId="20" type="noConversion"/>
  </si>
  <si>
    <t>All free HHs</t>
    <phoneticPr fontId="20" type="noConversion"/>
  </si>
  <si>
    <t>Total HHs</t>
    <phoneticPr fontId="20" type="noConversion"/>
  </si>
  <si>
    <t>and</t>
    <phoneticPr fontId="20" type="noConversion"/>
  </si>
  <si>
    <t>towns</t>
    <phoneticPr fontId="20" type="noConversion"/>
  </si>
  <si>
    <t>Group 4B</t>
    <phoneticPr fontId="20" type="noConversion"/>
  </si>
  <si>
    <t>South</t>
    <phoneticPr fontId="20" type="noConversion"/>
  </si>
  <si>
    <t>Group 1</t>
    <phoneticPr fontId="20" type="noConversion"/>
  </si>
  <si>
    <t>New</t>
    <phoneticPr fontId="20" type="noConversion"/>
  </si>
  <si>
    <t xml:space="preserve">Instead, our own estimates, starting in Worksheet (2) here, will use the export-import constraints described in the "sources and notes" worksheet.  </t>
    <phoneticPr fontId="20" type="noConversion"/>
  </si>
  <si>
    <t>them</t>
    <phoneticPr fontId="20" type="noConversion"/>
  </si>
  <si>
    <t>Mean $:</t>
    <phoneticPr fontId="20" type="noConversion"/>
  </si>
  <si>
    <t>(4) Size distribution of income among Southern households 1774</t>
    <phoneticPr fontId="20" type="noConversion"/>
  </si>
  <si>
    <t>Merchants and shopkeepers</t>
    <phoneticPr fontId="20" type="noConversion"/>
  </si>
  <si>
    <t>(Occupation mix per "Variant B")</t>
    <phoneticPr fontId="20" type="noConversion"/>
  </si>
  <si>
    <t>Sub-sample</t>
    <phoneticPr fontId="20" type="noConversion"/>
  </si>
  <si>
    <t xml:space="preserve"> income per household, like own-labor earnings, was the same for manufacturing as for construction.</t>
    <phoneticPr fontId="20" type="noConversion"/>
  </si>
  <si>
    <t>All free</t>
    <phoneticPr fontId="20" type="noConversion"/>
  </si>
  <si>
    <t>Total</t>
    <phoneticPr fontId="20" type="noConversion"/>
  </si>
  <si>
    <t>Gini =</t>
    <phoneticPr fontId="20" type="noConversion"/>
  </si>
  <si>
    <t>Top 1%:</t>
  </si>
  <si>
    <t>Top 5%:</t>
  </si>
  <si>
    <t>in Spanish</t>
  </si>
  <si>
    <t>in ounces</t>
  </si>
  <si>
    <t>New Jersey</t>
  </si>
  <si>
    <t>New York</t>
  </si>
  <si>
    <t>$/HH-year</t>
    <phoneticPr fontId="20" type="noConversion"/>
  </si>
  <si>
    <t>Rural</t>
    <phoneticPr fontId="20" type="noConversion"/>
  </si>
  <si>
    <t>Assumptions about the non-head earners "imported" or "taken into" the households of others</t>
    <phoneticPr fontId="20" type="noConversion"/>
  </si>
  <si>
    <t>value of a £</t>
  </si>
  <si>
    <t>no.</t>
    <phoneticPr fontId="20" type="noConversion"/>
  </si>
  <si>
    <t>Group definition</t>
    <phoneticPr fontId="20" type="noConversion"/>
  </si>
  <si>
    <t>Group 2-3</t>
    <phoneticPr fontId="20" type="noConversion"/>
  </si>
  <si>
    <t>MD white female servants</t>
  </si>
  <si>
    <t xml:space="preserve">See other notes in this file and in the "Total incomes 1774" file for discussions of the separation of farm operators' free labor earnings, property earnings, and residual profits.  </t>
    <phoneticPr fontId="20" type="noConversion"/>
  </si>
  <si>
    <t>Group 5E</t>
    <phoneticPr fontId="20" type="noConversion"/>
  </si>
  <si>
    <r>
      <t>Notes</t>
    </r>
    <r>
      <rPr>
        <sz val="12"/>
        <rFont val="Arial"/>
      </rPr>
      <t>:</t>
    </r>
    <phoneticPr fontId="20" type="noConversion"/>
  </si>
  <si>
    <t>See rows 56ff below for average free-labor earnings by place.</t>
    <phoneticPr fontId="20" type="noConversion"/>
  </si>
  <si>
    <t>All HHs</t>
    <phoneticPr fontId="20" type="noConversion"/>
  </si>
  <si>
    <t>(G) Extra earners "taken in", or imported</t>
    <phoneticPr fontId="20" type="noConversion"/>
  </si>
  <si>
    <t>Slaves ages 10 up, retained earnings</t>
    <phoneticPr fontId="20" type="noConversion"/>
  </si>
  <si>
    <t>Free</t>
    <phoneticPr fontId="20" type="noConversion"/>
  </si>
  <si>
    <t>as for household heads in the same occupational group, in Panel (B.).)</t>
    <phoneticPr fontId="20" type="noConversion"/>
  </si>
  <si>
    <t>$HHs + $ Xs =</t>
    <phoneticPr fontId="20" type="noConversion"/>
  </si>
  <si>
    <t>Household total LF earners minus hoiusehold heads</t>
    <phoneticPr fontId="20" type="noConversion"/>
  </si>
  <si>
    <t>Free</t>
    <phoneticPr fontId="20" type="noConversion"/>
  </si>
  <si>
    <t>Female HHs w/wealth, no occ stated</t>
    <phoneticPr fontId="20" type="noConversion"/>
  </si>
  <si>
    <t>Male HHs w/wealth, no occ stated</t>
    <phoneticPr fontId="20" type="noConversion"/>
  </si>
  <si>
    <t>Ranking by total income per HH</t>
    <phoneticPr fontId="20" type="noConversion"/>
  </si>
  <si>
    <t>Our underlying occupational-share estimates from primary sources are detailed in the set of regional files entitled "Aggregate property 1774 [name of region]",</t>
    <phoneticPr fontId="20" type="noConversion"/>
  </si>
  <si>
    <t>Re-allocating non-household-heads, and their earnings, to the households of others</t>
    <phoneticPr fontId="20" type="noConversion"/>
  </si>
  <si>
    <t>PROPERTY INCOME</t>
    <phoneticPr fontId="20" type="noConversion"/>
  </si>
  <si>
    <t>TOTAL INCOME</t>
    <phoneticPr fontId="20" type="noConversion"/>
  </si>
  <si>
    <t>(Q11-Q10)*(Q11-R11+Q10-R10)</t>
    <phoneticPr fontId="20" type="noConversion"/>
  </si>
  <si>
    <t>[See notes below.]</t>
    <phoneticPr fontId="20" type="noConversion"/>
  </si>
  <si>
    <t xml:space="preserve">(M.) Total own-labor earnings </t>
    <phoneticPr fontId="20" type="noConversion"/>
  </si>
  <si>
    <t>Memorandum: data for Group 5, rural farm operators in the aggregate</t>
    <phoneticPr fontId="20" type="noConversion"/>
  </si>
  <si>
    <t>Alice Hanson Jones's probate sample was not large enough for us to estimate 4A and 4B separately.</t>
    <phoneticPr fontId="20" type="noConversion"/>
  </si>
  <si>
    <t>(4) Within each group defined by region and urban/rural, we assume that the average earning power of each non-household-head</t>
    <phoneticPr fontId="20" type="noConversion"/>
  </si>
  <si>
    <t xml:space="preserve">are used as weights for rural non-farm vs lesser cities; the same is true of artisans and white collar; the other categories are taken directly from lesser cities. </t>
    <phoneticPr fontId="20" type="noConversion"/>
  </si>
  <si>
    <t>13 colonies</t>
    <phoneticPr fontId="20" type="noConversion"/>
  </si>
  <si>
    <t>sensitive to the number of LF earners per household.</t>
    <phoneticPr fontId="20" type="noConversion"/>
  </si>
  <si>
    <t>Group 6A</t>
  </si>
  <si>
    <t>Boston</t>
    <phoneticPr fontId="20" type="noConversion"/>
  </si>
  <si>
    <t>free urban</t>
    <phoneticPr fontId="20" type="noConversion"/>
  </si>
  <si>
    <t>Gini =</t>
    <phoneticPr fontId="20" type="noConversion"/>
  </si>
  <si>
    <t xml:space="preserve">                                 </t>
    <phoneticPr fontId="20" type="noConversion"/>
  </si>
  <si>
    <t>Implied average property income per farm operator HH =</t>
    <phoneticPr fontId="20" type="noConversion"/>
  </si>
  <si>
    <t xml:space="preserve">imported into free families is the same for all free families in that place.  We do not imagine any correlation between earning power of </t>
    <phoneticPr fontId="20" type="noConversion"/>
  </si>
  <si>
    <t>Thirteen</t>
    <phoneticPr fontId="20" type="noConversion"/>
  </si>
  <si>
    <t>Group 18A</t>
    <phoneticPr fontId="20" type="noConversion"/>
  </si>
  <si>
    <t>For average earnings per member of the labor force in the same household, see worksheet (2)</t>
    <phoneticPr fontId="20" type="noConversion"/>
  </si>
  <si>
    <t>Free households</t>
    <phoneticPr fontId="20" type="noConversion"/>
  </si>
  <si>
    <t>All households</t>
    <phoneticPr fontId="20" type="noConversion"/>
  </si>
  <si>
    <r>
      <t xml:space="preserve">Source = Lucy Simler, "The Landless Worker: An Index of Economic and Social Change in Chester County, Pennsylvania, 1750-1820". </t>
    </r>
    <r>
      <rPr>
        <i/>
        <sz val="12"/>
        <rFont val="Arial"/>
      </rPr>
      <t xml:space="preserve">The Pennsylvania Magazine of History and Biography </t>
    </r>
    <r>
      <rPr>
        <sz val="12"/>
        <rFont val="Arial"/>
      </rPr>
      <t>114, 2 (Apr., 1990), p. 196.</t>
    </r>
    <phoneticPr fontId="20" type="noConversion"/>
  </si>
  <si>
    <t>Colonies</t>
    <phoneticPr fontId="20" type="noConversion"/>
  </si>
  <si>
    <t>Number of</t>
    <phoneticPr fontId="20" type="noConversion"/>
  </si>
  <si>
    <t>Total</t>
    <phoneticPr fontId="20" type="noConversion"/>
  </si>
  <si>
    <t>Male</t>
    <phoneticPr fontId="20" type="noConversion"/>
  </si>
  <si>
    <t>Thirteen</t>
    <phoneticPr fontId="20" type="noConversion"/>
  </si>
  <si>
    <t>colonies</t>
    <phoneticPr fontId="20" type="noConversion"/>
  </si>
  <si>
    <t>Merchant &amp; shopkeepers</t>
  </si>
  <si>
    <t>Average</t>
    <phoneticPr fontId="20" type="noConversion"/>
  </si>
  <si>
    <t>Occupation</t>
    <phoneticPr fontId="20" type="noConversion"/>
  </si>
  <si>
    <t>Group 5D</t>
    <phoneticPr fontId="20" type="noConversion"/>
  </si>
  <si>
    <t>female non-HHs</t>
    <phoneticPr fontId="20" type="noConversion"/>
  </si>
  <si>
    <t>Construction</t>
  </si>
  <si>
    <t>Total free labor force</t>
    <phoneticPr fontId="20" type="noConversion"/>
  </si>
  <si>
    <t>Including</t>
    <phoneticPr fontId="20" type="noConversion"/>
  </si>
  <si>
    <t xml:space="preserve">because the occupational distributions had to be applied to the Alice Hanson Jones estimates of wealth, to derive property incomes by occupational class.  </t>
    <phoneticPr fontId="20" type="noConversion"/>
  </si>
  <si>
    <t>This has no effect on total earnings or income, but affects the inequality of incomes among households.</t>
    <phoneticPr fontId="20" type="noConversion"/>
  </si>
  <si>
    <t>Group 5B</t>
    <phoneticPr fontId="20" type="noConversion"/>
  </si>
  <si>
    <t>Group 5C</t>
    <phoneticPr fontId="20" type="noConversion"/>
  </si>
  <si>
    <t>Charleston)</t>
    <phoneticPr fontId="20" type="noConversion"/>
  </si>
  <si>
    <t>Group 6A</t>
    <phoneticPr fontId="20" type="noConversion"/>
  </si>
  <si>
    <t>Using the "Variant B" occupational distributions from the Excel file "1774 occ's by region", re-constituted into households in worksheet (2) of this file.</t>
    <phoneticPr fontId="20" type="noConversion"/>
  </si>
  <si>
    <t xml:space="preserve">In this table all slave numbers appear as rural.  </t>
    <phoneticPr fontId="20" type="noConversion"/>
  </si>
  <si>
    <t>as %'s of the</t>
  </si>
  <si>
    <t xml:space="preserve">The reason is that tor the Middle Colonies, farm operators could be divided into property-income ranks only for 3 colonies </t>
    <phoneticPr fontId="20" type="noConversion"/>
  </si>
  <si>
    <t>Farm operators or farm LF</t>
    <phoneticPr fontId="20" type="noConversion"/>
  </si>
  <si>
    <t>No. of LABOR PARTICIPANTS, reconstituted</t>
    <phoneticPr fontId="20" type="noConversion"/>
  </si>
  <si>
    <t>per free household, versus 2.86 per slave household.</t>
    <phoneticPr fontId="20" type="noConversion"/>
  </si>
  <si>
    <t>Ave income</t>
    <phoneticPr fontId="20" type="noConversion"/>
  </si>
  <si>
    <t>In other words, earners do not engage in long-distance commuting, between regions or between countryside and city.</t>
    <phoneticPr fontId="20" type="noConversion"/>
  </si>
  <si>
    <t>There is at least some literature measuring labor force members per household for the main ioccupations groups in the 1770s.</t>
    <phoneticPr fontId="20" type="noConversion"/>
  </si>
  <si>
    <t>Thus in terms of income per LF member,</t>
    <phoneticPr fontId="20" type="noConversion"/>
  </si>
  <si>
    <t xml:space="preserve">have a retained income exceeding that of </t>
    <phoneticPr fontId="20" type="noConversion"/>
  </si>
  <si>
    <t>using the "Variant B" assumptions about occ mix.)</t>
    <phoneticPr fontId="20" type="noConversion"/>
  </si>
  <si>
    <t>(2) Finding Homes for Non-HHs:</t>
    <phoneticPr fontId="20" type="noConversion"/>
  </si>
  <si>
    <t>Occupational distributions based on adjusted AHJ and other documents elaborated in the "1774 Occupations by region" Excel file, Worksheet entitled "(4) Summary LF totals".</t>
  </si>
  <si>
    <t>Group 18B</t>
    <phoneticPr fontId="20" type="noConversion"/>
  </si>
  <si>
    <t>Officials, titled, professionals</t>
    <phoneticPr fontId="20" type="noConversion"/>
  </si>
  <si>
    <t>RANKED BY</t>
    <phoneticPr fontId="20" type="noConversion"/>
  </si>
  <si>
    <t>Farm operators - top 2% in property**</t>
    <phoneticPr fontId="20" type="noConversion"/>
  </si>
  <si>
    <t>rural, towns</t>
    <phoneticPr fontId="20" type="noConversion"/>
  </si>
  <si>
    <t>Group 2</t>
    <phoneticPr fontId="20" type="noConversion"/>
  </si>
  <si>
    <t>(later US)</t>
  </si>
  <si>
    <t>(F.) Their total $ earnings</t>
    <phoneticPr fontId="20" type="noConversion"/>
  </si>
  <si>
    <t>(B.) The heads' average own-labor earnings</t>
    <phoneticPr fontId="20" type="noConversion"/>
  </si>
  <si>
    <t>[Small sample. For Group 5 in rural areas, see below.]</t>
    <phoneticPr fontId="20" type="noConversion"/>
  </si>
  <si>
    <t>(A.) Numbers of household heads</t>
    <phoneticPr fontId="20" type="noConversion"/>
  </si>
  <si>
    <t>NIPA-TYPE GROSS</t>
    <phoneticPr fontId="20" type="noConversion"/>
  </si>
  <si>
    <t>to gini</t>
    <phoneticPr fontId="20" type="noConversion"/>
  </si>
  <si>
    <t>Cumulative</t>
    <phoneticPr fontId="20" type="noConversion"/>
  </si>
  <si>
    <t>income share</t>
    <phoneticPr fontId="20" type="noConversion"/>
  </si>
  <si>
    <t>Q10*(Q10-R10)</t>
    <phoneticPr fontId="20" type="noConversion"/>
  </si>
  <si>
    <t>Group 6B</t>
    <phoneticPr fontId="20" type="noConversion"/>
  </si>
  <si>
    <t>AVERAGE TOTAL INCOME PER HOUSEHOLD</t>
    <phoneticPr fontId="20" type="noConversion"/>
  </si>
  <si>
    <t>(K.) Average own-labor earnings per LF member in the household</t>
    <phoneticPr fontId="20" type="noConversion"/>
  </si>
  <si>
    <t>(1) For the skilled labor Group 4 in manufacturing and construction, we assume that property</t>
    <phoneticPr fontId="20" type="noConversion"/>
  </si>
  <si>
    <r>
      <t>RECONSTITUTED HOUSEHOLDS</t>
    </r>
    <r>
      <rPr>
        <sz val="12"/>
        <rFont val="Arial"/>
      </rPr>
      <t>, grouped by occ of HH</t>
    </r>
    <phoneticPr fontId="20" type="noConversion"/>
  </si>
  <si>
    <t>(4) Size distribution of income among New England households 1774</t>
    <phoneticPr fontId="20" type="noConversion"/>
  </si>
  <si>
    <t>Farm operators - top 2% in property</t>
    <phoneticPr fontId="20" type="noConversion"/>
  </si>
  <si>
    <t>absolute error</t>
    <phoneticPr fontId="20" type="noConversion"/>
  </si>
  <si>
    <t>Farm operators - top 2% in property</t>
    <phoneticPr fontId="20" type="noConversion"/>
  </si>
  <si>
    <t>Lindert-Williamson</t>
    <phoneticPr fontId="20" type="noConversion"/>
  </si>
  <si>
    <t>rural, towns</t>
    <phoneticPr fontId="20" type="noConversion"/>
  </si>
  <si>
    <t>Farm operators - next 18%</t>
    <phoneticPr fontId="20" type="noConversion"/>
  </si>
  <si>
    <t>a free-white group, note that the</t>
    <phoneticPr fontId="20" type="noConversion"/>
  </si>
  <si>
    <t>discrepancy</t>
    <phoneticPr fontId="20" type="noConversion"/>
  </si>
  <si>
    <t>[rounding?]</t>
    <phoneticPr fontId="20" type="noConversion"/>
  </si>
  <si>
    <t>Farm operators - 40th-79th%</t>
    <phoneticPr fontId="20" type="noConversion"/>
  </si>
  <si>
    <t>Farm op %</t>
    <phoneticPr fontId="20" type="noConversion"/>
  </si>
  <si>
    <t>Implied value of property incomes of farm operator HHs =</t>
    <phoneticPr fontId="20" type="noConversion"/>
  </si>
  <si>
    <r>
      <t>(b.) Alternative household LF/HH average ratios for Group 5</t>
    </r>
    <r>
      <rPr>
        <b/>
        <sz val="12"/>
        <rFont val="Arial"/>
      </rPr>
      <t>, from rural Chester County PA 1774</t>
    </r>
    <phoneticPr fontId="20" type="noConversion"/>
  </si>
  <si>
    <t>free rural and town</t>
    <phoneticPr fontId="20" type="noConversion"/>
  </si>
  <si>
    <t>Farm operators - 0-39th%</t>
    <phoneticPr fontId="20" type="noConversion"/>
  </si>
  <si>
    <t>Farm operators - 40th-79th%</t>
    <phoneticPr fontId="20" type="noConversion"/>
  </si>
  <si>
    <t>Ave. potential</t>
    <phoneticPr fontId="20" type="noConversion"/>
  </si>
  <si>
    <t>Male unskilled HHs</t>
    <phoneticPr fontId="20" type="noConversion"/>
  </si>
  <si>
    <t>New England's slaves ranked 4th from the bottom</t>
    <phoneticPr fontId="20" type="noConversion"/>
  </si>
  <si>
    <t xml:space="preserve">For the South, colonial censuses counted slaves at the all-colony level but not separately for cities (e.g. Charleston).  In these tables, all slave numbers appear as rural.  </t>
    <phoneticPr fontId="20" type="noConversion"/>
  </si>
  <si>
    <r>
      <t>Slave headship rate</t>
    </r>
    <r>
      <rPr>
        <sz val="12"/>
        <rFont val="Arial"/>
      </rPr>
      <t>: We assume that of the slave population over age 10, which is also used as the slave labor force, 35 percent were household heads.</t>
    </r>
    <phoneticPr fontId="20" type="noConversion"/>
  </si>
  <si>
    <t>Unskilled male workers</t>
  </si>
  <si>
    <t>Group 6B</t>
  </si>
  <si>
    <t>Unskilled female workers</t>
  </si>
  <si>
    <t>have a retained income exceeding that of 5 and 12</t>
    <phoneticPr fontId="20" type="noConversion"/>
  </si>
  <si>
    <t>Group 4A</t>
  </si>
  <si>
    <t>Artisans (manufacturing trades)</t>
  </si>
  <si>
    <t>Slaves ages 10 up, retained earnings</t>
    <phoneticPr fontId="20" type="noConversion"/>
  </si>
  <si>
    <t>Artisans (manufacturing trades)</t>
    <phoneticPr fontId="20" type="noConversion"/>
  </si>
  <si>
    <t>Group 4B</t>
    <phoneticPr fontId="20" type="noConversion"/>
  </si>
  <si>
    <t>Group 18A</t>
    <phoneticPr fontId="20" type="noConversion"/>
  </si>
  <si>
    <t>Pennsylvania currency</t>
  </si>
  <si>
    <t>Colony</t>
  </si>
  <si>
    <t>(£ sterling UK)</t>
    <phoneticPr fontId="20" type="noConversion"/>
  </si>
  <si>
    <t xml:space="preserve">(2) The same holds for the separately recorded group of Maryland servants, though the assumption is redundant here because these are one-person households.  </t>
    <phoneticPr fontId="20" type="noConversion"/>
  </si>
  <si>
    <t>Groups</t>
    <phoneticPr fontId="20" type="noConversion"/>
  </si>
  <si>
    <t>Group 4B</t>
  </si>
  <si>
    <t>Group 5</t>
  </si>
  <si>
    <t>Alice Hanson Jones's $4.15 could be reconciled with the others if a weighted average of all colonial currencies were worth 4.125/4.444 (or 0.93468) of Pennsylvania currency.</t>
  </si>
  <si>
    <t>NIPA-TYPE GROSS</t>
    <phoneticPr fontId="20" type="noConversion"/>
  </si>
  <si>
    <t>divide $ by 4.44.]</t>
    <phoneticPr fontId="20" type="noConversion"/>
  </si>
  <si>
    <t>Middle Colonies' slaves ranked much closer to the bottom</t>
    <phoneticPr fontId="20" type="noConversion"/>
  </si>
  <si>
    <t>Alternative estimate for all HH again, in 1840 prices.</t>
    <phoneticPr fontId="20" type="noConversion"/>
  </si>
  <si>
    <t>TOTAL INCOME ($)</t>
    <phoneticPr fontId="20" type="noConversion"/>
  </si>
  <si>
    <t>Implied own-labor incomes of farm operator HHs =</t>
    <phoneticPr fontId="20" type="noConversion"/>
  </si>
  <si>
    <t>(H.) Their average earnings (derived at bottom of Panel E)</t>
    <phoneticPr fontId="20" type="noConversion"/>
  </si>
  <si>
    <t>Median $:</t>
  </si>
  <si>
    <t>* If it seems anomalous that slave households</t>
    <phoneticPr fontId="20" type="noConversion"/>
  </si>
  <si>
    <t>Mean $:</t>
  </si>
  <si>
    <t>Female HHs w/wealth, no occ stated</t>
  </si>
  <si>
    <t>Farm operators</t>
  </si>
  <si>
    <t xml:space="preserve">versus, in the "Own-labor" file, </t>
    <phoneticPr fontId="20" type="noConversion"/>
  </si>
  <si>
    <t>error in % =</t>
    <phoneticPr fontId="20" type="noConversion"/>
  </si>
  <si>
    <t>Group 2-3</t>
    <phoneticPr fontId="20" type="noConversion"/>
  </si>
  <si>
    <t>Group 919</t>
    <phoneticPr fontId="20" type="noConversion"/>
  </si>
  <si>
    <t>Group 2-3</t>
    <phoneticPr fontId="20" type="noConversion"/>
  </si>
  <si>
    <t>Group 918A</t>
    <phoneticPr fontId="20" type="noConversion"/>
  </si>
  <si>
    <t>Group 918B</t>
    <phoneticPr fontId="20" type="noConversion"/>
  </si>
  <si>
    <t>Rev August 2012</t>
    <phoneticPr fontId="20" type="noConversion"/>
  </si>
  <si>
    <t>HH share</t>
    <phoneticPr fontId="20" type="noConversion"/>
  </si>
  <si>
    <t>(blank)</t>
    <phoneticPr fontId="20" type="noConversion"/>
  </si>
  <si>
    <t>(NY, NJ, PA, DE)</t>
    <phoneticPr fontId="20" type="noConversion"/>
  </si>
  <si>
    <t>Total</t>
    <phoneticPr fontId="20" type="noConversion"/>
  </si>
  <si>
    <t>% error</t>
    <phoneticPr fontId="20" type="noConversion"/>
  </si>
  <si>
    <t>revised</t>
    <phoneticPr fontId="20" type="noConversion"/>
  </si>
  <si>
    <t>august'12</t>
    <phoneticPr fontId="20" type="noConversion"/>
  </si>
  <si>
    <r>
      <t>(a.) Household LF/HH average ratios for Groups 1-6</t>
    </r>
    <r>
      <rPr>
        <b/>
        <sz val="12"/>
        <rFont val="Arial"/>
      </rPr>
      <t>, From B.G. Smith's fuller-information sub-sample of Philadelphia in 1772</t>
    </r>
    <phoneticPr fontId="20" type="noConversion"/>
  </si>
  <si>
    <t>(3) Summary of incomes of free and slave households, by occupation of HH for 1774.</t>
    <phoneticPr fontId="20" type="noConversion"/>
  </si>
  <si>
    <r>
      <t>(A.) General note</t>
    </r>
    <r>
      <rPr>
        <sz val="12"/>
        <rFont val="Arial"/>
      </rPr>
      <t>: "Own labor incomes" here means annual (not necessarily full-time) earnings from human sources, as received by the laborer.</t>
    </r>
    <phoneticPr fontId="20" type="noConversion"/>
  </si>
  <si>
    <t>are applied to urban and rural alike, since J.T. Main's underlying estimates of incomes per farm do not permit much spatial separation within each region.</t>
    <phoneticPr fontId="20" type="noConversion"/>
  </si>
  <si>
    <t>New Eng</t>
  </si>
  <si>
    <t>The remaining worksheets in this Excel file =</t>
    <phoneticPr fontId="20" type="noConversion"/>
  </si>
  <si>
    <t>Small town</t>
  </si>
  <si>
    <t>Big city</t>
  </si>
  <si>
    <t>Farm</t>
  </si>
  <si>
    <t>Average</t>
    <phoneticPr fontId="20" type="noConversion"/>
  </si>
  <si>
    <t>OWN-LABOR EARNINGS</t>
    <phoneticPr fontId="20" type="noConversion"/>
  </si>
  <si>
    <t>(4) Size distribution of income among Middle Colonies' households 1774</t>
    <phoneticPr fontId="20" type="noConversion"/>
  </si>
  <si>
    <t>eight free-white groups, note the the</t>
    <phoneticPr fontId="20" type="noConversion"/>
  </si>
  <si>
    <t>*Slaves ages 10 up, retained earnings</t>
    <phoneticPr fontId="20" type="noConversion"/>
  </si>
  <si>
    <t>Group 9</t>
  </si>
  <si>
    <t>Zero-wealth free HHs</t>
  </si>
  <si>
    <t>Group 5A</t>
  </si>
  <si>
    <t>Group 5B</t>
  </si>
  <si>
    <t>[All farm ops]</t>
    <phoneticPr fontId="20" type="noConversion"/>
  </si>
  <si>
    <t>$/HH-year</t>
    <phoneticPr fontId="20" type="noConversion"/>
  </si>
  <si>
    <t>Farm operators - 40th-79th%</t>
    <phoneticPr fontId="20" type="noConversion"/>
  </si>
  <si>
    <t>Gini =</t>
  </si>
  <si>
    <t>$</t>
  </si>
  <si>
    <t>% share</t>
  </si>
  <si>
    <t>Ave income</t>
  </si>
  <si>
    <r>
      <t>MD servant headship rate</t>
    </r>
    <r>
      <rPr>
        <sz val="12"/>
        <rFont val="Arial"/>
      </rPr>
      <t xml:space="preserve"> = 1.00.  That is, they are treated as single-person households.</t>
    </r>
    <phoneticPr fontId="20" type="noConversion"/>
  </si>
  <si>
    <t>slightly revised April-July 2011,</t>
    <phoneticPr fontId="20" type="noConversion"/>
  </si>
  <si>
    <t>[2 work columns.]</t>
    <phoneticPr fontId="20" type="noConversion"/>
  </si>
  <si>
    <t>Rev April-July '11</t>
    <phoneticPr fontId="20" type="noConversion"/>
  </si>
  <si>
    <t>prof's-comm-craft</t>
    <phoneticPr fontId="20" type="noConversion"/>
  </si>
  <si>
    <t>no occ, W&gt;0</t>
    <phoneticPr fontId="20" type="noConversion"/>
  </si>
  <si>
    <t>Menial &amp; W=0's</t>
    <phoneticPr fontId="20" type="noConversion"/>
  </si>
  <si>
    <t>(7) Size distribution of income among households, All 13 Colonies</t>
    <phoneticPr fontId="20" type="noConversion"/>
  </si>
  <si>
    <t xml:space="preserve">This literature is too thin to be used in developing the present estimates.  </t>
    <phoneticPr fontId="20" type="noConversion"/>
  </si>
  <si>
    <t>Lindert-Williamson Feb 2011,</t>
    <phoneticPr fontId="20" type="noConversion"/>
  </si>
  <si>
    <t>Farm operators - 40th-79th%**</t>
    <phoneticPr fontId="20" type="noConversion"/>
  </si>
  <si>
    <r>
      <t xml:space="preserve">and on the series he displayed in </t>
    </r>
    <r>
      <rPr>
        <i/>
        <sz val="12"/>
        <rFont val="Arial"/>
      </rPr>
      <t>HSUS Millennial</t>
    </r>
    <r>
      <rPr>
        <sz val="12"/>
        <rFont val="Arial"/>
      </rPr>
      <t xml:space="preserve"> (2006):</t>
    </r>
    <phoneticPr fontId="20" type="noConversion"/>
  </si>
  <si>
    <t>Urban or</t>
    <phoneticPr fontId="20" type="noConversion"/>
  </si>
  <si>
    <t>Group 5C</t>
  </si>
  <si>
    <t>Group 5D</t>
  </si>
  <si>
    <t>MD white male servants</t>
  </si>
  <si>
    <t>* See "Sources &amp; notes" worksheet for the colony-specific exchange rates.</t>
    <phoneticPr fontId="20" type="noConversion"/>
  </si>
  <si>
    <t>measures of average household income are</t>
    <phoneticPr fontId="20" type="noConversion"/>
  </si>
  <si>
    <t xml:space="preserve">This meant lower property income per female head of household than for unskilled male heads, except in Charleston, </t>
    <phoneticPr fontId="20" type="noConversion"/>
  </si>
  <si>
    <t xml:space="preserve">where this variant implies greater labor force per household than for male.  </t>
    <phoneticPr fontId="20" type="noConversion"/>
  </si>
  <si>
    <t>For Group 5, farm operators:  The average labor plus profit incomes are calculated in the worksheet "(3) Farm incomes".  These region-wide averages</t>
    <phoneticPr fontId="20" type="noConversion"/>
  </si>
  <si>
    <t>In New England, there were only 1.44 LF members</t>
    <phoneticPr fontId="20" type="noConversion"/>
  </si>
  <si>
    <t>The counts of household heads in (A.) are from the file "1774 occs by region", Worksheet (3).</t>
    <phoneticPr fontId="20" type="noConversion"/>
  </si>
  <si>
    <t>Total labor force</t>
    <phoneticPr fontId="20" type="noConversion"/>
  </si>
  <si>
    <t>All occupational groups, urban</t>
    <phoneticPr fontId="20" type="noConversion"/>
  </si>
  <si>
    <t>Farm operators - next 18%</t>
    <phoneticPr fontId="20" type="noConversion"/>
  </si>
  <si>
    <t>Total $</t>
    <phoneticPr fontId="20" type="noConversion"/>
  </si>
  <si>
    <t>per year</t>
    <phoneticPr fontId="20" type="noConversion"/>
  </si>
  <si>
    <t>Farm operators - next 18%**</t>
    <phoneticPr fontId="20" type="noConversion"/>
  </si>
  <si>
    <t>For Groups 7 and 8, male and female household heads, with no stated occupation (other than "widow" or "single woman"): These are assumed to have the same average own-labor incomes as</t>
    <phoneticPr fontId="20" type="noConversion"/>
  </si>
  <si>
    <t>For Group 9, household heads with zero assessed wealth: These, whatever their (unknown) gender, are assumed to have the same own-labor incomes as unskilled male laborers (Group 6A) in the same places.</t>
    <phoneticPr fontId="20" type="noConversion"/>
  </si>
  <si>
    <t>For Group 19, slaves, earnings:  See the worksheet on slave earnings and their retention share in the Excel file "Own-labor incomes 1774".</t>
    <phoneticPr fontId="20" type="noConversion"/>
  </si>
  <si>
    <t>Lindert-Williamson</t>
    <phoneticPr fontId="20" type="noConversion"/>
  </si>
  <si>
    <t>(I.) Their total $ earnings</t>
    <phoneticPr fontId="20" type="noConversion"/>
  </si>
  <si>
    <t>(J.) Number of labor force participants</t>
    <phoneticPr fontId="20" type="noConversion"/>
  </si>
  <si>
    <t>(1) Fragmentary literature on household labor force sizes, by occupation of the head</t>
    <phoneticPr fontId="20" type="noConversion"/>
  </si>
  <si>
    <t>All 13 colonies' classes, stacked together into a grand size distribution of nominal income 1774</t>
    <phoneticPr fontId="20" type="noConversion"/>
  </si>
  <si>
    <t>Mid Cols</t>
    <phoneticPr fontId="20" type="noConversion"/>
  </si>
  <si>
    <t>TOTAL OWN-LABOR EARNINGS, in $* from wksht (2), (M.)</t>
    <phoneticPr fontId="20" type="noConversion"/>
  </si>
  <si>
    <t>Slaves ages 10 up, retained earnings*</t>
    <phoneticPr fontId="20" type="noConversion"/>
  </si>
  <si>
    <t>Farm operators - 0-39th%**</t>
    <phoneticPr fontId="20" type="noConversion"/>
  </si>
  <si>
    <t>households</t>
    <phoneticPr fontId="20" type="noConversion"/>
  </si>
  <si>
    <t>(2) For Group 6B, female unskilled labor, not separately sampled by Jones, we assumed zero wealth.</t>
    <phoneticPr fontId="20" type="noConversion"/>
  </si>
  <si>
    <t>free-white groups, note that the</t>
    <phoneticPr fontId="20" type="noConversion"/>
  </si>
  <si>
    <t>Group 7</t>
  </si>
  <si>
    <t>Male HHs w/wealth, no occ stated</t>
  </si>
  <si>
    <t>Group 8</t>
  </si>
  <si>
    <t>Group 1</t>
  </si>
  <si>
    <t>Total $</t>
    <phoneticPr fontId="20" type="noConversion"/>
  </si>
  <si>
    <t>four alternative conversions for 1789 and after. For the 1792 mentioned by Jones, the Officer values in $/£ are 4.6206, 4.4400, 4.5714, and 4.5554.  </t>
    <phoneticPr fontId="20" type="noConversion"/>
  </si>
  <si>
    <t>rather than 9th, as the ranks above might suggest.</t>
    <phoneticPr fontId="20" type="noConversion"/>
  </si>
  <si>
    <t>All occupational groups, town-rural</t>
    <phoneticPr fontId="20" type="noConversion"/>
  </si>
  <si>
    <t>Using the "Variant B" occupational distributions from the Excel file "1774 occ's by region", re-constituted into households in worksheet (2) of this file.</t>
    <phoneticPr fontId="20" type="noConversion"/>
  </si>
  <si>
    <t>This worksheet therefore only notes the fragmentary estimates of LF/HH.</t>
    <phoneticPr fontId="20" type="noConversion"/>
  </si>
  <si>
    <t>% share</t>
    <phoneticPr fontId="20" type="noConversion"/>
  </si>
  <si>
    <t>(1) Fragmentary literature on household LF sizes, by occupation of the head.</t>
    <phoneticPr fontId="20" type="noConversion"/>
  </si>
  <si>
    <t>(2) Moving the free non-household-heads, and their earnings, to others' households.</t>
    <phoneticPr fontId="20" type="noConversion"/>
  </si>
  <si>
    <t xml:space="preserve">Wage rates for non-farm rural occupations are especially sparse, and thus that for lesser cities and towns are used: for male common labor, the numbers of observations </t>
    <phoneticPr fontId="20" type="noConversion"/>
  </si>
  <si>
    <t xml:space="preserve">Furthermore, the bottom four free groups are </t>
    <phoneticPr fontId="20" type="noConversion"/>
  </si>
  <si>
    <t xml:space="preserve">assumed to have only 1.00 LF members per household.  </t>
    <phoneticPr fontId="20" type="noConversion"/>
  </si>
  <si>
    <t>Reminder: For 1774, the South excludes DE, FL, KY, and TN.</t>
    <phoneticPr fontId="20" type="noConversion"/>
  </si>
  <si>
    <t>Farm operators - all, New York</t>
    <phoneticPr fontId="20" type="noConversion"/>
  </si>
  <si>
    <t>(NJ, PA, DE), due to limitations on Jones's New York sample.</t>
    <phoneticPr fontId="20" type="noConversion"/>
  </si>
  <si>
    <t>Male HHs, no occ given</t>
    <phoneticPr fontId="20" type="noConversion"/>
  </si>
  <si>
    <t>than the ranks above might suggest.</t>
    <phoneticPr fontId="20" type="noConversion"/>
  </si>
  <si>
    <t xml:space="preserve">Furthermore, the bottom 9 free groups are </t>
    <phoneticPr fontId="20" type="noConversion"/>
  </si>
  <si>
    <t>participants</t>
    <phoneticPr fontId="20" type="noConversion"/>
  </si>
  <si>
    <t>New Eng</t>
    <phoneticPr fontId="20" type="noConversion"/>
  </si>
  <si>
    <t xml:space="preserve">In earlier rounds of estimation, we had assumed that the unskilled female household heads' average gross property income </t>
    <phoneticPr fontId="20" type="noConversion"/>
  </si>
  <si>
    <t xml:space="preserve">was that of their male counterpart households (Group 6A) times the ratio of their own-labor earnings.  </t>
    <phoneticPr fontId="20" type="noConversion"/>
  </si>
  <si>
    <t>free LF/HH =</t>
  </si>
  <si>
    <t>All LF/HH =</t>
  </si>
  <si>
    <t>Slave-and servant  LF/HH =</t>
  </si>
  <si>
    <t>(3) Summary of full-time incomes of free and slave households, by occupation of HH for 1774</t>
  </si>
  <si>
    <t>Ranking by total full-time income per HH</t>
  </si>
  <si>
    <t>(8) Full-time Income Inequality summary 1774</t>
  </si>
  <si>
    <r>
      <t xml:space="preserve">Ranking by total </t>
    </r>
    <r>
      <rPr>
        <b/>
        <u/>
        <sz val="12"/>
        <rFont val="Arial"/>
      </rPr>
      <t>full-time</t>
    </r>
    <r>
      <rPr>
        <sz val="12"/>
        <rFont val="Arial"/>
      </rPr>
      <t xml:space="preserve"> income per HH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</si>
</sst>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00"/>
    <numFmt numFmtId="166" formatCode="0.00000"/>
    <numFmt numFmtId="167" formatCode="0.000000"/>
    <numFmt numFmtId="168" formatCode="0.0000000"/>
    <numFmt numFmtId="169" formatCode="0,000"/>
    <numFmt numFmtId="170" formatCode="00,000"/>
    <numFmt numFmtId="171" formatCode="#,##0.000"/>
    <numFmt numFmtId="172" formatCode="#,##0.0"/>
    <numFmt numFmtId="173" formatCode="#,##0.00000"/>
  </numFmts>
  <fonts count="41" x14ac:knownFonts="1">
    <font>
      <sz val="10"/>
      <name val="Arial"/>
    </font>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ont>
    <font>
      <b/>
      <sz val="12"/>
      <name val="Arial"/>
    </font>
    <font>
      <sz val="12"/>
      <name val="Arial"/>
    </font>
    <font>
      <i/>
      <sz val="12"/>
      <name val="Arial"/>
    </font>
    <font>
      <b/>
      <sz val="14"/>
      <color indexed="10"/>
      <name val="Arial"/>
    </font>
    <font>
      <u/>
      <sz val="12"/>
      <name val="Arial"/>
    </font>
    <font>
      <sz val="14"/>
      <name val="Arial"/>
    </font>
    <font>
      <sz val="12"/>
      <color indexed="10"/>
      <name val="Arial"/>
    </font>
    <font>
      <b/>
      <u/>
      <sz val="12"/>
      <name val="Arial"/>
    </font>
    <font>
      <sz val="12"/>
      <color indexed="8"/>
      <name val="Arial"/>
    </font>
    <font>
      <b/>
      <sz val="16"/>
      <color indexed="10"/>
      <name val="Arial"/>
    </font>
    <font>
      <b/>
      <sz val="12"/>
      <color indexed="10"/>
      <name val="Arial"/>
    </font>
    <font>
      <u/>
      <sz val="10"/>
      <name val="Arial"/>
    </font>
    <font>
      <u/>
      <sz val="12"/>
      <color indexed="10"/>
      <name val="Arial"/>
    </font>
    <font>
      <sz val="10"/>
      <color indexed="10"/>
      <name val="Arial"/>
    </font>
    <font>
      <sz val="10"/>
      <color indexed="8"/>
      <name val="Arial"/>
      <family val="2"/>
    </font>
    <font>
      <sz val="11"/>
      <color indexed="10"/>
      <name val="Arial"/>
    </font>
    <font>
      <sz val="11"/>
      <name val="Arial"/>
    </font>
    <font>
      <sz val="18"/>
      <color indexed="10"/>
      <name val="Arial"/>
    </font>
    <font>
      <u/>
      <sz val="10"/>
      <color theme="10"/>
      <name val="Arial"/>
    </font>
    <font>
      <u/>
      <sz val="10"/>
      <color theme="11"/>
      <name val="Arial"/>
    </font>
  </fonts>
  <fills count="33">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s>
  <cellStyleXfs count="54">
    <xf numFmtId="0" fontId="0" fillId="0" borderId="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5" fillId="11" borderId="0" applyNumberFormat="0" applyBorder="0" applyAlignment="0" applyProtection="0"/>
    <xf numFmtId="0" fontId="6" fillId="28" borderId="20" applyNumberFormat="0" applyAlignment="0" applyProtection="0"/>
    <xf numFmtId="0" fontId="7" fillId="29" borderId="21" applyNumberFormat="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22" applyNumberFormat="0" applyFill="0" applyAlignment="0" applyProtection="0"/>
    <xf numFmtId="0" fontId="11" fillId="0" borderId="23" applyNumberFormat="0" applyFill="0" applyAlignment="0" applyProtection="0"/>
    <xf numFmtId="0" fontId="12" fillId="0" borderId="24" applyNumberFormat="0" applyFill="0" applyAlignment="0" applyProtection="0"/>
    <xf numFmtId="0" fontId="12" fillId="0" borderId="0" applyNumberFormat="0" applyFill="0" applyBorder="0" applyAlignment="0" applyProtection="0"/>
    <xf numFmtId="0" fontId="13" fillId="15" borderId="20" applyNumberFormat="0" applyAlignment="0" applyProtection="0"/>
    <xf numFmtId="0" fontId="14" fillId="0" borderId="25" applyNumberFormat="0" applyFill="0" applyAlignment="0" applyProtection="0"/>
    <xf numFmtId="0" fontId="15" fillId="30" borderId="0" applyNumberFormat="0" applyBorder="0" applyAlignment="0" applyProtection="0"/>
    <xf numFmtId="0" fontId="2" fillId="31" borderId="26" applyNumberFormat="0" applyFont="0" applyAlignment="0" applyProtection="0"/>
    <xf numFmtId="0" fontId="16" fillId="28" borderId="27" applyNumberFormat="0" applyAlignment="0" applyProtection="0"/>
    <xf numFmtId="0" fontId="17" fillId="0" borderId="0" applyNumberFormat="0" applyFill="0" applyBorder="0" applyAlignment="0" applyProtection="0"/>
    <xf numFmtId="0" fontId="18" fillId="0" borderId="28" applyNumberFormat="0" applyFill="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472">
    <xf numFmtId="0" fontId="0" fillId="0" borderId="0" xfId="0"/>
    <xf numFmtId="0" fontId="22" fillId="0" borderId="0" xfId="0" applyFont="1"/>
    <xf numFmtId="1" fontId="22" fillId="0" borderId="0" xfId="0" applyNumberFormat="1" applyFont="1" applyAlignment="1"/>
    <xf numFmtId="0" fontId="25" fillId="0" borderId="0" xfId="0" applyFont="1"/>
    <xf numFmtId="0" fontId="22" fillId="0" borderId="0" xfId="0" applyFont="1" applyAlignment="1"/>
    <xf numFmtId="0" fontId="22" fillId="0" borderId="0" xfId="0" applyFont="1" applyFill="1" applyBorder="1" applyAlignment="1"/>
    <xf numFmtId="165" fontId="22" fillId="0" borderId="0" xfId="0" applyNumberFormat="1" applyFont="1"/>
    <xf numFmtId="2" fontId="22" fillId="0" borderId="0" xfId="0" applyNumberFormat="1" applyFont="1"/>
    <xf numFmtId="0" fontId="22" fillId="0" borderId="0" xfId="0" applyFont="1" applyAlignment="1">
      <alignment horizontal="right"/>
    </xf>
    <xf numFmtId="0" fontId="25" fillId="0" borderId="0" xfId="0" applyFont="1" applyAlignment="1">
      <alignment horizontal="right"/>
    </xf>
    <xf numFmtId="0" fontId="22" fillId="0" borderId="1" xfId="0" applyFont="1" applyBorder="1"/>
    <xf numFmtId="2" fontId="22" fillId="0" borderId="0" xfId="0" applyNumberFormat="1" applyFont="1"/>
    <xf numFmtId="0" fontId="22" fillId="0" borderId="0" xfId="0" applyFont="1" applyAlignment="1">
      <alignment horizontal="center"/>
    </xf>
    <xf numFmtId="0" fontId="22" fillId="7" borderId="11" xfId="0" applyFont="1" applyFill="1" applyBorder="1" applyAlignment="1">
      <alignment horizontal="center"/>
    </xf>
    <xf numFmtId="0" fontId="22" fillId="7" borderId="12" xfId="0" applyFont="1" applyFill="1" applyBorder="1" applyAlignment="1">
      <alignment horizontal="center"/>
    </xf>
    <xf numFmtId="0" fontId="22" fillId="7" borderId="13" xfId="0" applyFont="1" applyFill="1" applyBorder="1" applyAlignment="1">
      <alignment horizontal="center"/>
    </xf>
    <xf numFmtId="0" fontId="22" fillId="8" borderId="11" xfId="0" applyFont="1" applyFill="1" applyBorder="1" applyAlignment="1">
      <alignment horizontal="center"/>
    </xf>
    <xf numFmtId="0" fontId="22" fillId="8" borderId="12" xfId="0" applyFont="1" applyFill="1" applyBorder="1" applyAlignment="1">
      <alignment horizontal="center"/>
    </xf>
    <xf numFmtId="0" fontId="22" fillId="8" borderId="13" xfId="0" applyFont="1" applyFill="1" applyBorder="1" applyAlignment="1">
      <alignment horizontal="center"/>
    </xf>
    <xf numFmtId="0" fontId="22" fillId="0" borderId="0" xfId="0" applyFont="1" applyAlignment="1">
      <alignment horizontal="center" vertical="center"/>
    </xf>
    <xf numFmtId="0" fontId="22" fillId="0" borderId="0" xfId="0" applyFont="1" applyAlignment="1"/>
    <xf numFmtId="0" fontId="22" fillId="0" borderId="0" xfId="0" applyNumberFormat="1" applyFont="1" applyAlignment="1"/>
    <xf numFmtId="0" fontId="22" fillId="0" borderId="0" xfId="0" applyFont="1" applyAlignment="1">
      <alignment horizontal="center"/>
    </xf>
    <xf numFmtId="2" fontId="22" fillId="0" borderId="0" xfId="0" applyNumberFormat="1" applyFont="1"/>
    <xf numFmtId="2" fontId="22" fillId="0" borderId="3" xfId="0" applyNumberFormat="1" applyFont="1" applyBorder="1" applyAlignment="1"/>
    <xf numFmtId="2" fontId="22" fillId="0" borderId="0" xfId="0" applyNumberFormat="1" applyFont="1" applyAlignment="1">
      <alignment horizontal="right"/>
    </xf>
    <xf numFmtId="2" fontId="0" fillId="0" borderId="0" xfId="0" applyNumberFormat="1"/>
    <xf numFmtId="1" fontId="22" fillId="0" borderId="0" xfId="0" applyNumberFormat="1" applyFont="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0" fillId="0" borderId="0" xfId="0" applyNumberFormat="1"/>
    <xf numFmtId="0" fontId="22" fillId="0" borderId="0" xfId="0" applyFont="1" applyAlignment="1">
      <alignment horizontal="right" vertical="center"/>
    </xf>
    <xf numFmtId="0" fontId="25" fillId="0" borderId="0" xfId="0" applyFont="1" applyAlignment="1">
      <alignment horizontal="center"/>
    </xf>
    <xf numFmtId="0" fontId="24" fillId="0" borderId="0" xfId="0" applyFont="1"/>
    <xf numFmtId="0" fontId="26" fillId="0" borderId="0" xfId="0" applyFont="1"/>
    <xf numFmtId="17" fontId="0" fillId="0" borderId="0" xfId="0" applyNumberFormat="1"/>
    <xf numFmtId="1" fontId="22" fillId="0" borderId="0" xfId="0" applyNumberFormat="1" applyFont="1" applyAlignment="1"/>
    <xf numFmtId="0" fontId="22" fillId="0" borderId="0" xfId="0" applyFont="1" applyAlignment="1"/>
    <xf numFmtId="1" fontId="22" fillId="0" borderId="0" xfId="0" applyNumberFormat="1" applyFont="1" applyBorder="1"/>
    <xf numFmtId="169" fontId="22" fillId="0" borderId="0" xfId="0" applyNumberFormat="1" applyFont="1" applyBorder="1"/>
    <xf numFmtId="2" fontId="22" fillId="0" borderId="0" xfId="0" applyNumberFormat="1" applyFont="1" applyBorder="1" applyAlignment="1">
      <alignment horizontal="right"/>
    </xf>
    <xf numFmtId="2" fontId="22" fillId="0" borderId="0" xfId="0" applyNumberFormat="1" applyFont="1"/>
    <xf numFmtId="0" fontId="28" fillId="0" borderId="0" xfId="0" applyFont="1"/>
    <xf numFmtId="1" fontId="21" fillId="0" borderId="0" xfId="0" applyNumberFormat="1" applyFont="1"/>
    <xf numFmtId="1" fontId="22" fillId="0" borderId="0" xfId="0" applyNumberFormat="1" applyFont="1" applyAlignment="1">
      <alignment horizontal="right"/>
    </xf>
    <xf numFmtId="164" fontId="22" fillId="0" borderId="0" xfId="0" applyNumberFormat="1" applyFont="1" applyAlignment="1">
      <alignment horizontal="right"/>
    </xf>
    <xf numFmtId="164" fontId="21" fillId="0" borderId="0" xfId="0" applyNumberFormat="1" applyFont="1"/>
    <xf numFmtId="164" fontId="22" fillId="0" borderId="0" xfId="0" applyNumberFormat="1" applyFont="1" applyBorder="1" applyAlignment="1">
      <alignment horizontal="right"/>
    </xf>
    <xf numFmtId="1" fontId="22" fillId="0" borderId="0" xfId="0" applyNumberFormat="1" applyFont="1"/>
    <xf numFmtId="0" fontId="27" fillId="0" borderId="0" xfId="0" applyFont="1"/>
    <xf numFmtId="0" fontId="22" fillId="0" borderId="0" xfId="0" applyFont="1" applyFill="1"/>
    <xf numFmtId="2" fontId="22" fillId="0" borderId="0" xfId="0" applyNumberFormat="1" applyFont="1"/>
    <xf numFmtId="1" fontId="22" fillId="0" borderId="0" xfId="0" applyNumberFormat="1" applyFont="1"/>
    <xf numFmtId="0" fontId="22" fillId="0" borderId="0" xfId="0" applyFont="1" applyBorder="1" applyAlignment="1">
      <alignment horizontal="center"/>
    </xf>
    <xf numFmtId="0" fontId="21" fillId="0" borderId="0" xfId="0" applyFont="1"/>
    <xf numFmtId="2" fontId="22" fillId="0" borderId="2" xfId="0" applyNumberFormat="1" applyFont="1" applyBorder="1"/>
    <xf numFmtId="0" fontId="22" fillId="0" borderId="3" xfId="0" applyFont="1" applyBorder="1"/>
    <xf numFmtId="0" fontId="22" fillId="0" borderId="4" xfId="0" applyFont="1" applyBorder="1"/>
    <xf numFmtId="0" fontId="22" fillId="0" borderId="5" xfId="0" applyFont="1" applyBorder="1"/>
    <xf numFmtId="1" fontId="22" fillId="0" borderId="0" xfId="0" applyNumberFormat="1" applyFont="1"/>
    <xf numFmtId="1"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1" fontId="22" fillId="0" borderId="0" xfId="0" applyNumberFormat="1" applyFont="1"/>
    <xf numFmtId="1" fontId="22" fillId="0" borderId="3"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6" borderId="0" xfId="0" applyNumberFormat="1" applyFont="1" applyFill="1"/>
    <xf numFmtId="0" fontId="22" fillId="6" borderId="0" xfId="0" applyFont="1" applyFill="1"/>
    <xf numFmtId="2" fontId="22" fillId="6" borderId="0" xfId="0" applyNumberFormat="1" applyFont="1" applyFill="1"/>
    <xf numFmtId="1" fontId="22" fillId="3" borderId="0" xfId="0" applyNumberFormat="1" applyFont="1" applyFill="1"/>
    <xf numFmtId="0" fontId="22" fillId="3" borderId="0" xfId="0" applyFont="1" applyFill="1"/>
    <xf numFmtId="0" fontId="22" fillId="4" borderId="0" xfId="0" applyFont="1" applyFill="1"/>
    <xf numFmtId="0" fontId="22" fillId="5" borderId="0" xfId="0" applyFont="1" applyFill="1"/>
    <xf numFmtId="2" fontId="22" fillId="0" borderId="0" xfId="0" applyNumberFormat="1" applyFont="1"/>
    <xf numFmtId="2" fontId="22" fillId="4" borderId="0" xfId="0" applyNumberFormat="1" applyFont="1" applyFill="1"/>
    <xf numFmtId="2" fontId="22" fillId="0" borderId="0" xfId="0" applyNumberFormat="1" applyFont="1" applyAlignment="1">
      <alignment horizontal="right"/>
    </xf>
    <xf numFmtId="2" fontId="21" fillId="0" borderId="0" xfId="0" applyNumberFormat="1" applyFont="1"/>
    <xf numFmtId="1" fontId="22" fillId="0" borderId="0" xfId="0" applyNumberFormat="1" applyFont="1"/>
    <xf numFmtId="0" fontId="22" fillId="0" borderId="0" xfId="0" applyFont="1" applyBorder="1"/>
    <xf numFmtId="0" fontId="21" fillId="5" borderId="0" xfId="0" applyFont="1" applyFill="1"/>
    <xf numFmtId="1" fontId="22" fillId="0" borderId="0" xfId="0" applyNumberFormat="1" applyFont="1"/>
    <xf numFmtId="1" fontId="22" fillId="0" borderId="0" xfId="0" applyNumberFormat="1" applyFont="1" applyFill="1"/>
    <xf numFmtId="2" fontId="22" fillId="0" borderId="0" xfId="0" applyNumberFormat="1" applyFont="1" applyFill="1"/>
    <xf numFmtId="2" fontId="22" fillId="0" borderId="0" xfId="0" applyNumberFormat="1" applyFont="1" applyFill="1"/>
    <xf numFmtId="2" fontId="22" fillId="0" borderId="0" xfId="0" applyNumberFormat="1" applyFont="1" applyFill="1"/>
    <xf numFmtId="1" fontId="22" fillId="0" borderId="0" xfId="0" applyNumberFormat="1" applyFont="1" applyFill="1"/>
    <xf numFmtId="0" fontId="22" fillId="0" borderId="0" xfId="0" applyFont="1" applyFill="1" applyAlignment="1">
      <alignment horizontal="right"/>
    </xf>
    <xf numFmtId="1" fontId="23" fillId="0" borderId="0" xfId="0" applyNumberFormat="1" applyFont="1" applyFill="1"/>
    <xf numFmtId="1" fontId="23" fillId="0" borderId="0" xfId="0" applyNumberFormat="1" applyFont="1"/>
    <xf numFmtId="170" fontId="22" fillId="0" borderId="0" xfId="0" applyNumberFormat="1" applyFont="1" applyFill="1"/>
    <xf numFmtId="0" fontId="22" fillId="0" borderId="0" xfId="0" applyFont="1" applyAlignment="1">
      <alignment horizontal="left"/>
    </xf>
    <xf numFmtId="1" fontId="22" fillId="0" borderId="0" xfId="0" applyNumberFormat="1" applyFont="1"/>
    <xf numFmtId="1" fontId="22" fillId="4" borderId="0" xfId="0" applyNumberFormat="1" applyFont="1" applyFill="1"/>
    <xf numFmtId="1" fontId="22" fillId="0" borderId="3" xfId="0" applyNumberFormat="1" applyFont="1" applyBorder="1"/>
    <xf numFmtId="1" fontId="22" fillId="0" borderId="4" xfId="0" applyNumberFormat="1" applyFont="1" applyBorder="1"/>
    <xf numFmtId="1" fontId="22" fillId="0" borderId="0" xfId="0" applyNumberFormat="1" applyFont="1" applyAlignment="1">
      <alignment horizontal="right"/>
    </xf>
    <xf numFmtId="1" fontId="27" fillId="0" borderId="0" xfId="0" applyNumberFormat="1" applyFont="1" applyAlignment="1">
      <alignment horizontal="right"/>
    </xf>
    <xf numFmtId="1" fontId="27" fillId="0" borderId="0" xfId="0" applyNumberFormat="1" applyFont="1"/>
    <xf numFmtId="2" fontId="22" fillId="0" borderId="0" xfId="0" applyNumberFormat="1" applyFont="1"/>
    <xf numFmtId="2" fontId="22" fillId="0" borderId="2" xfId="0" applyNumberFormat="1" applyFont="1" applyBorder="1"/>
    <xf numFmtId="2" fontId="22" fillId="0" borderId="7" xfId="0" applyNumberFormat="1" applyFont="1" applyBorder="1"/>
    <xf numFmtId="1" fontId="21" fillId="6" borderId="0" xfId="0" applyNumberFormat="1" applyFont="1" applyFill="1"/>
    <xf numFmtId="1" fontId="21" fillId="3" borderId="0" xfId="0" applyNumberFormat="1" applyFont="1" applyFill="1"/>
    <xf numFmtId="1" fontId="22" fillId="0" borderId="0" xfId="0" applyNumberFormat="1" applyFont="1"/>
    <xf numFmtId="2" fontId="22" fillId="0" borderId="0" xfId="0" applyNumberFormat="1" applyFont="1"/>
    <xf numFmtId="2" fontId="22" fillId="0" borderId="0" xfId="0" applyNumberFormat="1" applyFont="1"/>
    <xf numFmtId="2" fontId="22" fillId="4" borderId="0" xfId="0" applyNumberFormat="1" applyFont="1" applyFill="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2" fontId="22" fillId="0" borderId="0" xfId="0" applyNumberFormat="1" applyFont="1" applyFill="1"/>
    <xf numFmtId="169" fontId="22" fillId="0" borderId="0" xfId="0" applyNumberFormat="1" applyFont="1"/>
    <xf numFmtId="169" fontId="22" fillId="0" borderId="0" xfId="0" applyNumberFormat="1" applyFont="1"/>
    <xf numFmtId="169" fontId="22" fillId="4" borderId="0" xfId="0" applyNumberFormat="1" applyFont="1" applyFill="1"/>
    <xf numFmtId="169" fontId="22" fillId="0" borderId="5" xfId="0" applyNumberFormat="1" applyFont="1" applyBorder="1"/>
    <xf numFmtId="169" fontId="22" fillId="0" borderId="0" xfId="0" applyNumberFormat="1" applyFont="1" applyAlignment="1">
      <alignment horizontal="right"/>
    </xf>
    <xf numFmtId="0" fontId="22" fillId="0" borderId="0" xfId="0" applyFont="1" applyFill="1" applyBorder="1" applyAlignment="1">
      <alignment horizontal="center"/>
    </xf>
    <xf numFmtId="169" fontId="22" fillId="0" borderId="0" xfId="0" applyNumberFormat="1" applyFont="1" applyFill="1"/>
    <xf numFmtId="169" fontId="22" fillId="0" borderId="0" xfId="0" applyNumberFormat="1" applyFont="1"/>
    <xf numFmtId="169" fontId="22" fillId="0" borderId="0" xfId="0" applyNumberFormat="1" applyFont="1" applyFill="1"/>
    <xf numFmtId="1" fontId="27" fillId="0" borderId="0" xfId="0" applyNumberFormat="1" applyFont="1" applyFill="1"/>
    <xf numFmtId="0" fontId="27" fillId="0" borderId="0" xfId="0" applyFont="1" applyAlignment="1">
      <alignment horizontal="right"/>
    </xf>
    <xf numFmtId="1" fontId="29" fillId="0" borderId="0" xfId="0" applyNumberFormat="1" applyFont="1" applyFill="1"/>
    <xf numFmtId="1" fontId="22" fillId="0" borderId="0" xfId="0" applyNumberFormat="1" applyFont="1" applyFill="1"/>
    <xf numFmtId="169" fontId="22" fillId="0" borderId="0" xfId="0" applyNumberFormat="1" applyFont="1" applyFill="1"/>
    <xf numFmtId="169" fontId="22" fillId="0" borderId="0" xfId="0" applyNumberFormat="1" applyFont="1"/>
    <xf numFmtId="0" fontId="22" fillId="2" borderId="0" xfId="0" applyFont="1" applyFill="1"/>
    <xf numFmtId="0" fontId="30" fillId="0" borderId="0" xfId="0" applyFont="1"/>
    <xf numFmtId="169" fontId="22" fillId="0" borderId="0" xfId="0" applyNumberFormat="1" applyFont="1"/>
    <xf numFmtId="1" fontId="22" fillId="0" borderId="0" xfId="0" applyNumberFormat="1" applyFont="1"/>
    <xf numFmtId="0" fontId="27" fillId="0" borderId="0" xfId="0" applyFont="1" applyAlignment="1">
      <alignment horizontal="left" indent="1"/>
    </xf>
    <xf numFmtId="2" fontId="27" fillId="0" borderId="0" xfId="0" applyNumberFormat="1" applyFont="1"/>
    <xf numFmtId="2" fontId="22" fillId="0" borderId="0" xfId="0" applyNumberFormat="1" applyFont="1"/>
    <xf numFmtId="0" fontId="22" fillId="9" borderId="0" xfId="0" applyFont="1" applyFill="1"/>
    <xf numFmtId="0" fontId="0" fillId="9" borderId="0" xfId="0" applyFill="1"/>
    <xf numFmtId="1" fontId="22" fillId="9" borderId="0" xfId="0" applyNumberFormat="1" applyFont="1" applyFill="1"/>
    <xf numFmtId="2" fontId="0" fillId="9" borderId="0" xfId="0" applyNumberFormat="1" applyFill="1"/>
    <xf numFmtId="2" fontId="22" fillId="9" borderId="0" xfId="0" applyNumberFormat="1" applyFont="1" applyFill="1"/>
    <xf numFmtId="1" fontId="22" fillId="0" borderId="2" xfId="0" applyNumberFormat="1" applyFont="1" applyBorder="1"/>
    <xf numFmtId="169" fontId="27" fillId="0" borderId="0" xfId="0" applyNumberFormat="1" applyFont="1"/>
    <xf numFmtId="169" fontId="22" fillId="5" borderId="1" xfId="0" applyNumberFormat="1" applyFont="1" applyFill="1" applyBorder="1"/>
    <xf numFmtId="169" fontId="22" fillId="0" borderId="0" xfId="0" applyNumberFormat="1" applyFont="1"/>
    <xf numFmtId="169" fontId="22" fillId="0" borderId="0" xfId="0" applyNumberFormat="1" applyFont="1"/>
    <xf numFmtId="2" fontId="22" fillId="0" borderId="0" xfId="0" applyNumberFormat="1" applyFont="1" applyBorder="1" applyAlignment="1">
      <alignment horizontal="right"/>
    </xf>
    <xf numFmtId="2" fontId="22" fillId="0" borderId="0" xfId="0" applyNumberFormat="1" applyFont="1" applyAlignment="1">
      <alignment horizontal="right"/>
    </xf>
    <xf numFmtId="2" fontId="21" fillId="0" borderId="0" xfId="0" applyNumberFormat="1" applyFont="1"/>
    <xf numFmtId="169" fontId="22" fillId="0" borderId="0" xfId="0" applyNumberFormat="1" applyFont="1"/>
    <xf numFmtId="0" fontId="22" fillId="7" borderId="0" xfId="0" applyFont="1" applyFill="1" applyBorder="1" applyAlignment="1">
      <alignment horizontal="center"/>
    </xf>
    <xf numFmtId="0" fontId="22" fillId="8" borderId="0" xfId="0" applyFont="1" applyFill="1" applyBorder="1" applyAlignment="1">
      <alignment horizontal="center"/>
    </xf>
    <xf numFmtId="169" fontId="22" fillId="5" borderId="0" xfId="0" applyNumberFormat="1" applyFont="1" applyFill="1"/>
    <xf numFmtId="164" fontId="22" fillId="0" borderId="0" xfId="0" applyNumberFormat="1" applyFont="1"/>
    <xf numFmtId="168" fontId="27" fillId="0" borderId="0" xfId="0" applyNumberFormat="1" applyFont="1"/>
    <xf numFmtId="165" fontId="22" fillId="0" borderId="1" xfId="0" applyNumberFormat="1" applyFont="1" applyBorder="1"/>
    <xf numFmtId="169" fontId="22" fillId="0" borderId="0" xfId="0" applyNumberFormat="1" applyFont="1" applyBorder="1"/>
    <xf numFmtId="2" fontId="0" fillId="0" borderId="0" xfId="0" applyNumberFormat="1"/>
    <xf numFmtId="169" fontId="22" fillId="0" borderId="0" xfId="0" applyNumberFormat="1" applyFont="1" applyBorder="1" applyAlignment="1">
      <alignment horizontal="right"/>
    </xf>
    <xf numFmtId="169" fontId="22" fillId="0" borderId="0" xfId="0" applyNumberFormat="1" applyFont="1" applyAlignment="1">
      <alignment horizontal="right"/>
    </xf>
    <xf numFmtId="1" fontId="22" fillId="0" borderId="0" xfId="0" applyNumberFormat="1" applyFont="1" applyAlignment="1">
      <alignment horizontal="right"/>
    </xf>
    <xf numFmtId="1" fontId="27" fillId="0" borderId="0" xfId="0" applyNumberFormat="1" applyFont="1"/>
    <xf numFmtId="166" fontId="21" fillId="0" borderId="0" xfId="0" applyNumberFormat="1" applyFont="1"/>
    <xf numFmtId="166" fontId="22" fillId="0" borderId="0" xfId="0" applyNumberFormat="1" applyFont="1" applyAlignment="1">
      <alignment horizontal="right"/>
    </xf>
    <xf numFmtId="0" fontId="27" fillId="5" borderId="0" xfId="0" applyFont="1" applyFill="1"/>
    <xf numFmtId="2" fontId="22" fillId="5" borderId="0" xfId="0" applyNumberFormat="1" applyFont="1" applyFill="1"/>
    <xf numFmtId="17" fontId="0" fillId="0" borderId="0" xfId="0" applyNumberFormat="1" applyBorder="1"/>
    <xf numFmtId="0" fontId="0" fillId="0" borderId="0" xfId="0" applyBorder="1"/>
    <xf numFmtId="2" fontId="22" fillId="0" borderId="0" xfId="0" applyNumberFormat="1" applyFont="1"/>
    <xf numFmtId="164" fontId="22" fillId="0" borderId="0" xfId="0" applyNumberFormat="1" applyFont="1"/>
    <xf numFmtId="169" fontId="22" fillId="0" borderId="0" xfId="0" applyNumberFormat="1" applyFont="1"/>
    <xf numFmtId="2" fontId="22" fillId="0" borderId="0" xfId="0" applyNumberFormat="1" applyFont="1"/>
    <xf numFmtId="0" fontId="25" fillId="0" borderId="0" xfId="0" applyFont="1" applyBorder="1" applyAlignment="1">
      <alignment horizontal="center"/>
    </xf>
    <xf numFmtId="2" fontId="25" fillId="0" borderId="0" xfId="0" applyNumberFormat="1" applyFont="1" applyAlignment="1">
      <alignment horizontal="right"/>
    </xf>
    <xf numFmtId="1" fontId="22" fillId="0" borderId="0" xfId="0" applyNumberFormat="1" applyFont="1"/>
    <xf numFmtId="1" fontId="21" fillId="0" borderId="0" xfId="0" applyNumberFormat="1" applyFont="1"/>
    <xf numFmtId="1" fontId="25" fillId="0" borderId="0" xfId="0" applyNumberFormat="1" applyFont="1" applyAlignment="1">
      <alignment horizontal="right"/>
    </xf>
    <xf numFmtId="2" fontId="27" fillId="0" borderId="0" xfId="0" applyNumberFormat="1" applyFont="1"/>
    <xf numFmtId="169" fontId="27" fillId="0" borderId="0" xfId="0" applyNumberFormat="1" applyFont="1"/>
    <xf numFmtId="1" fontId="22" fillId="5" borderId="2" xfId="0" applyNumberFormat="1" applyFont="1" applyFill="1" applyBorder="1"/>
    <xf numFmtId="169" fontId="27" fillId="0" borderId="0" xfId="0" applyNumberFormat="1" applyFont="1"/>
    <xf numFmtId="1" fontId="22" fillId="0" borderId="0" xfId="0" applyNumberFormat="1" applyFont="1"/>
    <xf numFmtId="1" fontId="21" fillId="3" borderId="0" xfId="0" applyNumberFormat="1" applyFont="1" applyFill="1"/>
    <xf numFmtId="1" fontId="22" fillId="3" borderId="0" xfId="0" applyNumberFormat="1" applyFont="1" applyFill="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0" borderId="0" xfId="0" applyNumberFormat="1" applyFont="1" applyFill="1"/>
    <xf numFmtId="1" fontId="27" fillId="0" borderId="0" xfId="0" applyNumberFormat="1" applyFont="1" applyAlignment="1">
      <alignment horizontal="right"/>
    </xf>
    <xf numFmtId="2" fontId="22" fillId="0" borderId="0" xfId="0" applyNumberFormat="1" applyFont="1"/>
    <xf numFmtId="2"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0" fillId="0" borderId="0" xfId="0" applyNumberFormat="1"/>
    <xf numFmtId="2" fontId="22" fillId="0" borderId="0" xfId="0" applyNumberFormat="1" applyFont="1"/>
    <xf numFmtId="1" fontId="22" fillId="0" borderId="0" xfId="0" applyNumberFormat="1" applyFont="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69" fontId="22" fillId="0" borderId="0" xfId="0" applyNumberFormat="1" applyFont="1"/>
    <xf numFmtId="169" fontId="0" fillId="0" borderId="0" xfId="0" applyNumberFormat="1"/>
    <xf numFmtId="2" fontId="22" fillId="0" borderId="0" xfId="0" applyNumberFormat="1" applyFont="1"/>
    <xf numFmtId="164" fontId="31" fillId="0" borderId="0" xfId="0" applyNumberFormat="1" applyFont="1"/>
    <xf numFmtId="2" fontId="27" fillId="0" borderId="0" xfId="0" applyNumberFormat="1" applyFont="1" applyBorder="1" applyAlignment="1">
      <alignment horizontal="right"/>
    </xf>
    <xf numFmtId="1" fontId="21" fillId="0" borderId="0" xfId="0" applyNumberFormat="1" applyFont="1" applyAlignment="1">
      <alignment horizontal="right"/>
    </xf>
    <xf numFmtId="166"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2" fontId="22" fillId="0" borderId="0" xfId="0" applyNumberFormat="1" applyFont="1"/>
    <xf numFmtId="1" fontId="22" fillId="0" borderId="0" xfId="0" applyNumberFormat="1" applyFont="1"/>
    <xf numFmtId="17" fontId="22" fillId="0" borderId="0" xfId="0" applyNumberFormat="1" applyFont="1" applyBorder="1"/>
    <xf numFmtId="2" fontId="22" fillId="0" borderId="0" xfId="0" applyNumberFormat="1" applyFont="1"/>
    <xf numFmtId="17" fontId="22" fillId="0" borderId="0" xfId="0" applyNumberFormat="1" applyFont="1"/>
    <xf numFmtId="169" fontId="22" fillId="0" borderId="0" xfId="0" applyNumberFormat="1" applyFont="1"/>
    <xf numFmtId="1" fontId="22" fillId="0" borderId="0" xfId="0" applyNumberFormat="1" applyFont="1"/>
    <xf numFmtId="166" fontId="22" fillId="0" borderId="0" xfId="0" applyNumberFormat="1" applyFont="1"/>
    <xf numFmtId="164" fontId="22" fillId="0" borderId="0" xfId="0" applyNumberFormat="1" applyFont="1"/>
    <xf numFmtId="0" fontId="22" fillId="0" borderId="0" xfId="0" applyFont="1" applyFill="1" applyAlignment="1"/>
    <xf numFmtId="1" fontId="22" fillId="0" borderId="0" xfId="0" applyNumberFormat="1" applyFont="1" applyFill="1" applyAlignment="1"/>
    <xf numFmtId="2" fontId="22" fillId="0" borderId="0" xfId="0" applyNumberFormat="1" applyFont="1" applyBorder="1"/>
    <xf numFmtId="1" fontId="22" fillId="0" borderId="0" xfId="0" applyNumberFormat="1" applyFont="1"/>
    <xf numFmtId="1" fontId="21" fillId="4" borderId="0" xfId="0" applyNumberFormat="1" applyFont="1" applyFill="1"/>
    <xf numFmtId="1" fontId="22" fillId="0" borderId="6" xfId="0" applyNumberFormat="1" applyFont="1" applyBorder="1"/>
    <xf numFmtId="1" fontId="22" fillId="0" borderId="0" xfId="0" applyNumberFormat="1" applyFont="1" applyBorder="1"/>
    <xf numFmtId="1" fontId="22" fillId="0" borderId="2" xfId="0" applyNumberFormat="1" applyFont="1" applyBorder="1"/>
    <xf numFmtId="1" fontId="27" fillId="0" borderId="0" xfId="0" applyNumberFormat="1" applyFont="1"/>
    <xf numFmtId="1" fontId="22" fillId="0" borderId="7" xfId="0" applyNumberFormat="1" applyFont="1" applyBorder="1"/>
    <xf numFmtId="1" fontId="22" fillId="0" borderId="8" xfId="0" applyNumberFormat="1" applyFont="1" applyBorder="1" applyAlignment="1">
      <alignment horizontal="right"/>
    </xf>
    <xf numFmtId="1" fontId="22" fillId="0" borderId="9" xfId="0" applyNumberFormat="1" applyFont="1" applyBorder="1" applyAlignment="1">
      <alignment horizontal="right"/>
    </xf>
    <xf numFmtId="2" fontId="22" fillId="0" borderId="0" xfId="0" applyNumberFormat="1" applyFont="1" applyBorder="1" applyAlignment="1">
      <alignment horizontal="left"/>
    </xf>
    <xf numFmtId="1" fontId="22" fillId="0" borderId="10" xfId="0" applyNumberFormat="1" applyFont="1" applyBorder="1" applyAlignment="1">
      <alignment horizontal="right"/>
    </xf>
    <xf numFmtId="1" fontId="22" fillId="0" borderId="0" xfId="0" applyNumberFormat="1" applyFont="1"/>
    <xf numFmtId="1" fontId="22" fillId="0" borderId="0" xfId="0" applyNumberFormat="1" applyFont="1"/>
    <xf numFmtId="170" fontId="22" fillId="0" borderId="0" xfId="0" applyNumberFormat="1" applyFont="1" applyFill="1" applyBorder="1"/>
    <xf numFmtId="1" fontId="22" fillId="0" borderId="0" xfId="0" applyNumberFormat="1" applyFont="1" applyFill="1" applyAlignment="1">
      <alignment horizontal="right"/>
    </xf>
    <xf numFmtId="2" fontId="22" fillId="0" borderId="0" xfId="0" applyNumberFormat="1" applyFont="1" applyFill="1"/>
    <xf numFmtId="0" fontId="23" fillId="0" borderId="0" xfId="0" applyFont="1"/>
    <xf numFmtId="1" fontId="22" fillId="0" borderId="2" xfId="0" applyNumberFormat="1" applyFont="1" applyFill="1" applyBorder="1"/>
    <xf numFmtId="1" fontId="29" fillId="0" borderId="0" xfId="0" applyNumberFormat="1" applyFont="1"/>
    <xf numFmtId="0" fontId="27" fillId="0" borderId="0" xfId="0" applyFont="1" applyFill="1"/>
    <xf numFmtId="2" fontId="22" fillId="0" borderId="0" xfId="0" applyNumberFormat="1" applyFont="1" applyFill="1"/>
    <xf numFmtId="1" fontId="22" fillId="0" borderId="0" xfId="0" applyNumberFormat="1" applyFont="1" applyFill="1" applyBorder="1"/>
    <xf numFmtId="1" fontId="29" fillId="5" borderId="1" xfId="0" applyNumberFormat="1" applyFont="1" applyFill="1" applyBorder="1"/>
    <xf numFmtId="1" fontId="29" fillId="0" borderId="0" xfId="0" applyNumberFormat="1" applyFont="1" applyAlignment="1">
      <alignment horizontal="right"/>
    </xf>
    <xf numFmtId="1" fontId="22" fillId="5" borderId="1" xfId="0" applyNumberFormat="1" applyFont="1" applyFill="1" applyBorder="1"/>
    <xf numFmtId="169" fontId="27" fillId="0" borderId="0" xfId="0" applyNumberFormat="1" applyFont="1" applyAlignment="1">
      <alignment horizontal="right"/>
    </xf>
    <xf numFmtId="169" fontId="22" fillId="0" borderId="0" xfId="0" applyNumberFormat="1" applyFont="1" applyFill="1"/>
    <xf numFmtId="169" fontId="22" fillId="0" borderId="0" xfId="0" applyNumberFormat="1" applyFont="1"/>
    <xf numFmtId="165" fontId="27" fillId="0" borderId="0" xfId="0" applyNumberFormat="1" applyFont="1"/>
    <xf numFmtId="1" fontId="22" fillId="0" borderId="0" xfId="0" applyNumberFormat="1" applyFont="1"/>
    <xf numFmtId="2" fontId="22" fillId="0" borderId="14" xfId="0" applyNumberFormat="1" applyFont="1" applyFill="1" applyBorder="1"/>
    <xf numFmtId="2" fontId="22" fillId="0" borderId="15" xfId="0" applyNumberFormat="1" applyFont="1" applyFill="1" applyBorder="1"/>
    <xf numFmtId="2" fontId="22" fillId="0" borderId="16" xfId="0" applyNumberFormat="1" applyFont="1" applyFill="1" applyBorder="1"/>
    <xf numFmtId="2" fontId="22" fillId="0" borderId="17" xfId="0" applyNumberFormat="1" applyFont="1" applyFill="1" applyBorder="1"/>
    <xf numFmtId="2" fontId="22" fillId="0" borderId="18" xfId="0" applyNumberFormat="1" applyFont="1" applyFill="1" applyBorder="1"/>
    <xf numFmtId="2" fontId="22" fillId="0" borderId="19" xfId="0" applyNumberFormat="1" applyFont="1" applyFill="1" applyBorder="1"/>
    <xf numFmtId="2" fontId="22" fillId="0" borderId="0" xfId="0" applyNumberFormat="1" applyFont="1"/>
    <xf numFmtId="2" fontId="27" fillId="0" borderId="0" xfId="0" applyNumberFormat="1" applyFont="1"/>
    <xf numFmtId="164" fontId="27" fillId="0" borderId="0" xfId="0" applyNumberFormat="1" applyFont="1"/>
    <xf numFmtId="0" fontId="22" fillId="0" borderId="0" xfId="0" applyFont="1" applyFill="1" applyBorder="1"/>
    <xf numFmtId="0" fontId="27" fillId="0" borderId="0" xfId="0" applyFont="1" applyFill="1" applyAlignment="1">
      <alignment horizontal="left" indent="1"/>
    </xf>
    <xf numFmtId="2" fontId="22" fillId="0" borderId="0" xfId="0" applyNumberFormat="1" applyFont="1"/>
    <xf numFmtId="0" fontId="0" fillId="0" borderId="0" xfId="0" applyAlignment="1">
      <alignment horizontal="right"/>
    </xf>
    <xf numFmtId="1" fontId="0" fillId="0" borderId="0" xfId="0" applyNumberFormat="1" applyAlignment="1">
      <alignment horizontal="right"/>
    </xf>
    <xf numFmtId="2" fontId="0" fillId="0" borderId="0" xfId="0" applyNumberFormat="1"/>
    <xf numFmtId="1" fontId="0" fillId="0" borderId="0" xfId="0" applyNumberFormat="1"/>
    <xf numFmtId="2" fontId="0" fillId="0" borderId="0" xfId="0" applyNumberFormat="1"/>
    <xf numFmtId="2" fontId="27" fillId="0" borderId="0" xfId="0" applyNumberFormat="1" applyFont="1"/>
    <xf numFmtId="0" fontId="27" fillId="0" borderId="0" xfId="0" applyFont="1" applyFill="1" applyAlignment="1">
      <alignment horizontal="left"/>
    </xf>
    <xf numFmtId="0" fontId="0" fillId="0" borderId="0" xfId="0" applyFill="1"/>
    <xf numFmtId="169" fontId="29" fillId="5" borderId="1" xfId="0" applyNumberFormat="1" applyFont="1" applyFill="1" applyBorder="1"/>
    <xf numFmtId="166" fontId="22" fillId="0" borderId="0" xfId="0" applyNumberFormat="1" applyFont="1" applyAlignment="1">
      <alignment horizontal="right"/>
    </xf>
    <xf numFmtId="166" fontId="27" fillId="0" borderId="0" xfId="0" applyNumberFormat="1" applyFont="1"/>
    <xf numFmtId="2" fontId="22" fillId="0" borderId="0" xfId="0" applyNumberFormat="1" applyFont="1"/>
    <xf numFmtId="1" fontId="22" fillId="0" borderId="0" xfId="0" applyNumberFormat="1" applyFont="1"/>
    <xf numFmtId="2" fontId="22" fillId="0" borderId="0" xfId="0" applyNumberFormat="1" applyFont="1"/>
    <xf numFmtId="167" fontId="22" fillId="0" borderId="0" xfId="0" applyNumberFormat="1" applyFont="1"/>
    <xf numFmtId="167" fontId="22" fillId="0" borderId="0" xfId="0" applyNumberFormat="1" applyFont="1"/>
    <xf numFmtId="2" fontId="29" fillId="0" borderId="0" xfId="0" applyNumberFormat="1" applyFont="1"/>
    <xf numFmtId="167" fontId="22" fillId="0" borderId="0" xfId="0" applyNumberFormat="1" applyFont="1"/>
    <xf numFmtId="0" fontId="29" fillId="0" borderId="0" xfId="0" applyFont="1"/>
    <xf numFmtId="164" fontId="22" fillId="0" borderId="0" xfId="0" applyNumberFormat="1" applyFont="1" applyFill="1"/>
    <xf numFmtId="169" fontId="25" fillId="0" borderId="0" xfId="0" applyNumberFormat="1" applyFont="1" applyAlignment="1">
      <alignment horizontal="right"/>
    </xf>
    <xf numFmtId="166" fontId="27" fillId="0" borderId="0" xfId="0" applyNumberFormat="1" applyFont="1"/>
    <xf numFmtId="1" fontId="22" fillId="0" borderId="0" xfId="0" applyNumberFormat="1" applyFont="1"/>
    <xf numFmtId="1" fontId="21" fillId="0" borderId="0" xfId="0" applyNumberFormat="1" applyFont="1" applyAlignment="1">
      <alignment horizontal="center"/>
    </xf>
    <xf numFmtId="1" fontId="22" fillId="0" borderId="0" xfId="0" applyNumberFormat="1" applyFont="1" applyAlignment="1">
      <alignment horizontal="right"/>
    </xf>
    <xf numFmtId="1" fontId="22" fillId="0" borderId="0" xfId="0" applyNumberFormat="1" applyFont="1" applyBorder="1" applyAlignment="1">
      <alignment horizontal="right"/>
    </xf>
    <xf numFmtId="1" fontId="0" fillId="0" borderId="0" xfId="0" applyNumberFormat="1"/>
    <xf numFmtId="0" fontId="22" fillId="8" borderId="0" xfId="0" applyFont="1" applyFill="1" applyBorder="1"/>
    <xf numFmtId="0" fontId="22" fillId="7" borderId="0" xfId="0" applyFont="1" applyFill="1" applyBorder="1"/>
    <xf numFmtId="1" fontId="25" fillId="0" borderId="0" xfId="0" applyNumberFormat="1" applyFont="1" applyAlignment="1">
      <alignment horizontal="right"/>
    </xf>
    <xf numFmtId="164" fontId="25" fillId="0" borderId="0" xfId="0" applyNumberFormat="1" applyFont="1"/>
    <xf numFmtId="164" fontId="25" fillId="0" borderId="0" xfId="0" applyNumberFormat="1" applyFont="1" applyAlignment="1">
      <alignment horizontal="right"/>
    </xf>
    <xf numFmtId="0" fontId="32" fillId="0" borderId="0" xfId="0" applyFont="1"/>
    <xf numFmtId="2" fontId="22" fillId="0" borderId="0" xfId="0" applyNumberFormat="1" applyFont="1"/>
    <xf numFmtId="1" fontId="22" fillId="0" borderId="0" xfId="0" applyNumberFormat="1" applyFont="1"/>
    <xf numFmtId="2" fontId="22" fillId="0" borderId="0" xfId="0" applyNumberFormat="1" applyFont="1"/>
    <xf numFmtId="169" fontId="22" fillId="0" borderId="0" xfId="0" applyNumberFormat="1" applyFont="1"/>
    <xf numFmtId="167" fontId="22" fillId="0" borderId="0" xfId="0" applyNumberFormat="1" applyFont="1"/>
    <xf numFmtId="2" fontId="22" fillId="0" borderId="0" xfId="0" applyNumberFormat="1" applyFont="1" applyFill="1"/>
    <xf numFmtId="1" fontId="22" fillId="0" borderId="0" xfId="0" applyNumberFormat="1" applyFont="1"/>
    <xf numFmtId="166" fontId="25" fillId="0" borderId="0" xfId="0" applyNumberFormat="1" applyFont="1" applyAlignment="1">
      <alignment horizontal="right"/>
    </xf>
    <xf numFmtId="169" fontId="22" fillId="0" borderId="0" xfId="0" applyNumberFormat="1" applyFont="1"/>
    <xf numFmtId="169" fontId="27" fillId="0" borderId="0" xfId="0" applyNumberFormat="1" applyFont="1"/>
    <xf numFmtId="169" fontId="22" fillId="5" borderId="1" xfId="0" applyNumberFormat="1" applyFont="1" applyFill="1" applyBorder="1"/>
    <xf numFmtId="169" fontId="22" fillId="0" borderId="2" xfId="0" applyNumberFormat="1" applyFont="1" applyBorder="1"/>
    <xf numFmtId="167" fontId="22" fillId="0" borderId="0" xfId="0" applyNumberFormat="1" applyFont="1" applyAlignment="1">
      <alignment horizontal="right"/>
    </xf>
    <xf numFmtId="2" fontId="22" fillId="0" borderId="0" xfId="0" applyNumberFormat="1" applyFont="1"/>
    <xf numFmtId="1" fontId="22" fillId="0" borderId="0" xfId="0" applyNumberFormat="1" applyFont="1"/>
    <xf numFmtId="167"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7" fillId="0" borderId="0" xfId="0" applyNumberFormat="1" applyFont="1"/>
    <xf numFmtId="0" fontId="33" fillId="0" borderId="0" xfId="0" applyFont="1" applyAlignment="1">
      <alignment horizontal="right"/>
    </xf>
    <xf numFmtId="2" fontId="22" fillId="0" borderId="0" xfId="0" applyNumberFormat="1" applyFont="1"/>
    <xf numFmtId="2" fontId="22" fillId="0" borderId="0" xfId="0" applyNumberFormat="1" applyFont="1"/>
    <xf numFmtId="2" fontId="22" fillId="0" borderId="0" xfId="0" applyNumberFormat="1" applyFont="1"/>
    <xf numFmtId="0" fontId="22" fillId="0" borderId="0" xfId="0" applyFont="1" applyFill="1" applyBorder="1" applyAlignment="1">
      <alignment horizontal="right"/>
    </xf>
    <xf numFmtId="169" fontId="22" fillId="0" borderId="0" xfId="0" applyNumberFormat="1" applyFont="1"/>
    <xf numFmtId="1" fontId="0" fillId="0" borderId="0" xfId="0" applyNumberFormat="1"/>
    <xf numFmtId="1" fontId="22" fillId="0" borderId="0" xfId="0" applyNumberFormat="1" applyFont="1" applyFill="1" applyAlignment="1">
      <alignment horizontal="right"/>
    </xf>
    <xf numFmtId="1" fontId="29" fillId="0" borderId="0" xfId="0" applyNumberFormat="1" applyFont="1" applyFill="1" applyAlignment="1">
      <alignment horizontal="right"/>
    </xf>
    <xf numFmtId="1" fontId="22" fillId="0" borderId="0" xfId="0" applyNumberFormat="1" applyFont="1" applyAlignment="1">
      <alignment horizontal="right"/>
    </xf>
    <xf numFmtId="0" fontId="1" fillId="0" borderId="0" xfId="0" applyFont="1"/>
    <xf numFmtId="15" fontId="1" fillId="0" borderId="0" xfId="0" applyNumberFormat="1" applyFont="1" applyAlignment="1">
      <alignment horizontal="left"/>
    </xf>
    <xf numFmtId="0" fontId="34" fillId="0" borderId="0" xfId="0" applyFont="1" applyAlignment="1">
      <alignment horizontal="right"/>
    </xf>
    <xf numFmtId="1" fontId="34" fillId="0" borderId="0" xfId="0" applyNumberFormat="1" applyFont="1"/>
    <xf numFmtId="1" fontId="36" fillId="0" borderId="0" xfId="0" applyNumberFormat="1" applyFont="1"/>
    <xf numFmtId="1" fontId="37" fillId="0" borderId="0" xfId="0" applyNumberFormat="1" applyFont="1"/>
    <xf numFmtId="0" fontId="37" fillId="0" borderId="0" xfId="0" applyFont="1" applyFill="1"/>
    <xf numFmtId="2" fontId="37" fillId="0" borderId="0" xfId="0" applyNumberFormat="1" applyFont="1"/>
    <xf numFmtId="0" fontId="37" fillId="0" borderId="0" xfId="0" applyFont="1"/>
    <xf numFmtId="169" fontId="36" fillId="0" borderId="0" xfId="0" applyNumberFormat="1" applyFont="1"/>
    <xf numFmtId="2" fontId="36" fillId="0" borderId="0" xfId="0" applyNumberFormat="1" applyFont="1"/>
    <xf numFmtId="1" fontId="34" fillId="0" borderId="0" xfId="0" applyNumberFormat="1" applyFont="1" applyBorder="1"/>
    <xf numFmtId="164" fontId="22" fillId="0" borderId="0" xfId="0" applyNumberFormat="1" applyFont="1"/>
    <xf numFmtId="164" fontId="22" fillId="0" borderId="0" xfId="0" applyNumberFormat="1" applyFont="1" applyAlignment="1">
      <alignment horizontal="right"/>
    </xf>
    <xf numFmtId="164" fontId="22" fillId="0" borderId="0" xfId="0" applyNumberFormat="1" applyFont="1" applyAlignment="1"/>
    <xf numFmtId="164" fontId="27" fillId="0" borderId="0" xfId="0" applyNumberFormat="1" applyFont="1" applyAlignment="1">
      <alignment horizontal="right"/>
    </xf>
    <xf numFmtId="165" fontId="22" fillId="0" borderId="0" xfId="0" applyNumberFormat="1" applyFont="1" applyAlignment="1"/>
    <xf numFmtId="0" fontId="22" fillId="0" borderId="5" xfId="0" applyFont="1" applyFill="1" applyBorder="1"/>
    <xf numFmtId="0" fontId="38" fillId="0" borderId="0" xfId="0" applyFont="1"/>
    <xf numFmtId="2" fontId="22" fillId="0" borderId="0" xfId="0" applyNumberFormat="1" applyFont="1"/>
    <xf numFmtId="168" fontId="22" fillId="0" borderId="0" xfId="0" applyNumberFormat="1" applyFont="1"/>
    <xf numFmtId="167" fontId="29" fillId="0" borderId="0" xfId="0" applyNumberFormat="1" applyFont="1"/>
    <xf numFmtId="167" fontId="22" fillId="0" borderId="0" xfId="0" applyNumberFormat="1" applyFont="1" applyFill="1"/>
    <xf numFmtId="2" fontId="22" fillId="5" borderId="0" xfId="0" applyNumberFormat="1" applyFont="1" applyFill="1"/>
    <xf numFmtId="2" fontId="22" fillId="0" borderId="0" xfId="0" applyNumberFormat="1" applyFont="1" applyFill="1"/>
    <xf numFmtId="169" fontId="27" fillId="0" borderId="0" xfId="0" applyNumberFormat="1" applyFont="1" applyFill="1"/>
    <xf numFmtId="0" fontId="0" fillId="0" borderId="14" xfId="0" applyBorder="1"/>
    <xf numFmtId="0" fontId="0" fillId="0" borderId="15" xfId="0" applyBorder="1"/>
    <xf numFmtId="0" fontId="22" fillId="0" borderId="16" xfId="0" applyFont="1" applyBorder="1"/>
    <xf numFmtId="17" fontId="35" fillId="0" borderId="29" xfId="0" applyNumberFormat="1" applyFont="1" applyBorder="1"/>
    <xf numFmtId="0" fontId="22" fillId="0" borderId="30" xfId="0" applyFont="1" applyBorder="1"/>
    <xf numFmtId="0" fontId="35" fillId="0" borderId="29" xfId="0" applyFont="1" applyBorder="1"/>
    <xf numFmtId="0" fontId="35" fillId="0" borderId="17" xfId="0" applyFont="1" applyBorder="1"/>
    <xf numFmtId="0" fontId="22" fillId="0" borderId="19" xfId="0" applyFont="1" applyBorder="1"/>
    <xf numFmtId="169" fontId="34" fillId="0" borderId="0" xfId="0" applyNumberFormat="1" applyFont="1"/>
    <xf numFmtId="0" fontId="33" fillId="0" borderId="0" xfId="0" applyFont="1"/>
    <xf numFmtId="165" fontId="22" fillId="0" borderId="1" xfId="0" applyNumberFormat="1" applyFont="1" applyFill="1" applyBorder="1"/>
    <xf numFmtId="2" fontId="27" fillId="0" borderId="0" xfId="0" applyNumberFormat="1" applyFont="1" applyAlignment="1">
      <alignment horizontal="right"/>
    </xf>
    <xf numFmtId="2" fontId="27" fillId="0" borderId="0" xfId="0" applyNumberFormat="1" applyFont="1" applyFill="1"/>
    <xf numFmtId="0" fontId="22" fillId="0" borderId="14" xfId="0" applyFont="1" applyBorder="1"/>
    <xf numFmtId="17" fontId="22" fillId="0" borderId="29" xfId="0" applyNumberFormat="1" applyFont="1" applyBorder="1"/>
    <xf numFmtId="0" fontId="27" fillId="0" borderId="17" xfId="0" applyFont="1" applyBorder="1"/>
    <xf numFmtId="0" fontId="22" fillId="5" borderId="0" xfId="0" applyFont="1" applyFill="1" applyAlignment="1">
      <alignment horizontal="right"/>
    </xf>
    <xf numFmtId="164" fontId="22" fillId="5" borderId="0" xfId="0" applyNumberFormat="1" applyFont="1" applyFill="1"/>
    <xf numFmtId="2" fontId="27" fillId="0" borderId="0" xfId="0" applyNumberFormat="1" applyFont="1"/>
    <xf numFmtId="1" fontId="25" fillId="0" borderId="0" xfId="0" applyNumberFormat="1" applyFont="1"/>
    <xf numFmtId="169" fontId="27" fillId="0" borderId="0" xfId="0" applyNumberFormat="1" applyFont="1"/>
    <xf numFmtId="2" fontId="22" fillId="0" borderId="0" xfId="0" applyNumberFormat="1" applyFont="1" applyFill="1"/>
    <xf numFmtId="0" fontId="34" fillId="0" borderId="29" xfId="0" applyFont="1" applyBorder="1"/>
    <xf numFmtId="0" fontId="0" fillId="0" borderId="18" xfId="0" applyBorder="1"/>
    <xf numFmtId="2" fontId="27" fillId="0" borderId="0" xfId="0" applyNumberFormat="1" applyFont="1"/>
    <xf numFmtId="3" fontId="22" fillId="0" borderId="0" xfId="0" applyNumberFormat="1" applyFont="1"/>
    <xf numFmtId="3" fontId="27" fillId="0" borderId="0" xfId="0" applyNumberFormat="1" applyFont="1"/>
    <xf numFmtId="3" fontId="27" fillId="0" borderId="0" xfId="0" applyNumberFormat="1" applyFont="1" applyAlignment="1">
      <alignment horizontal="right"/>
    </xf>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9" fillId="0" borderId="0" xfId="0" applyNumberFormat="1" applyFont="1"/>
    <xf numFmtId="3" fontId="22" fillId="0" borderId="0" xfId="0" applyNumberFormat="1" applyFont="1"/>
    <xf numFmtId="3" fontId="27"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2" fontId="22" fillId="32" borderId="0" xfId="0" applyNumberFormat="1" applyFont="1" applyFill="1" applyAlignment="1">
      <alignment horizontal="right"/>
    </xf>
    <xf numFmtId="2" fontId="22" fillId="0" borderId="0" xfId="0" applyNumberFormat="1" applyFont="1" applyFill="1" applyAlignment="1">
      <alignment horizontal="right"/>
    </xf>
    <xf numFmtId="2" fontId="22" fillId="0" borderId="0" xfId="0" applyNumberFormat="1" applyFont="1" applyFill="1"/>
    <xf numFmtId="3" fontId="36" fillId="0" borderId="0" xfId="0" applyNumberFormat="1" applyFont="1"/>
    <xf numFmtId="3" fontId="37" fillId="0" borderId="0" xfId="0" applyNumberFormat="1" applyFont="1"/>
    <xf numFmtId="3" fontId="22" fillId="0" borderId="0" xfId="0" applyNumberFormat="1" applyFon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22" fillId="5" borderId="1" xfId="0" applyNumberFormat="1" applyFont="1" applyFill="1" applyBorder="1"/>
    <xf numFmtId="3" fontId="28" fillId="0" borderId="0" xfId="0" applyNumberFormat="1" applyFont="1"/>
    <xf numFmtId="2" fontId="31" fillId="0" borderId="0" xfId="0" applyNumberFormat="1" applyFont="1" applyAlignment="1">
      <alignment horizontal="left"/>
    </xf>
    <xf numFmtId="3" fontId="22" fillId="0" borderId="0" xfId="0" applyNumberFormat="1" applyFont="1"/>
    <xf numFmtId="3" fontId="34" fillId="0" borderId="0" xfId="0" applyNumberFormat="1" applyFont="1"/>
    <xf numFmtId="3" fontId="27" fillId="0" borderId="0" xfId="0" applyNumberFormat="1" applyFont="1"/>
    <xf numFmtId="3" fontId="0" fillId="0" borderId="0" xfId="0" applyNumberForma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0" fillId="0" borderId="0" xfId="0" applyNumberFormat="1" applyAlignment="1">
      <alignment horizontal="right"/>
    </xf>
    <xf numFmtId="3" fontId="27" fillId="0" borderId="0" xfId="0" applyNumberFormat="1" applyFont="1" applyFill="1"/>
    <xf numFmtId="3" fontId="22" fillId="0" borderId="0" xfId="0" applyNumberFormat="1" applyFont="1"/>
    <xf numFmtId="3" fontId="28" fillId="0" borderId="0" xfId="0" applyNumberFormat="1" applyFont="1"/>
    <xf numFmtId="3" fontId="21" fillId="0" borderId="0" xfId="0" applyNumberFormat="1" applyFont="1" applyAlignment="1">
      <alignment horizontal="center"/>
    </xf>
    <xf numFmtId="3" fontId="22" fillId="0" borderId="0" xfId="0" applyNumberFormat="1" applyFont="1" applyAlignment="1">
      <alignment horizontal="right"/>
    </xf>
    <xf numFmtId="3" fontId="22" fillId="0" borderId="0" xfId="0" applyNumberFormat="1" applyFont="1" applyBorder="1" applyAlignment="1">
      <alignment horizontal="right"/>
    </xf>
    <xf numFmtId="3" fontId="25" fillId="0" borderId="0" xfId="0" applyNumberFormat="1" applyFont="1" applyAlignment="1">
      <alignment horizontal="right"/>
    </xf>
    <xf numFmtId="3" fontId="27" fillId="0" borderId="0" xfId="0" applyNumberFormat="1" applyFont="1"/>
    <xf numFmtId="3" fontId="27" fillId="0" borderId="0" xfId="0" applyNumberFormat="1" applyFont="1" applyAlignment="1">
      <alignment horizontal="right"/>
    </xf>
    <xf numFmtId="4" fontId="29" fillId="0" borderId="0" xfId="0" applyNumberFormat="1" applyFont="1" applyFill="1"/>
    <xf numFmtId="4" fontId="22" fillId="0" borderId="0" xfId="0" applyNumberFormat="1" applyFont="1" applyFill="1"/>
    <xf numFmtId="2" fontId="22" fillId="5" borderId="0" xfId="0" applyNumberFormat="1" applyFont="1" applyFill="1"/>
    <xf numFmtId="164" fontId="22" fillId="32" borderId="0" xfId="0" applyNumberFormat="1" applyFont="1" applyFill="1" applyAlignment="1">
      <alignment horizontal="right"/>
    </xf>
    <xf numFmtId="3" fontId="22" fillId="0" borderId="0" xfId="0" applyNumberFormat="1" applyFont="1"/>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3" fontId="22" fillId="0" borderId="0" xfId="0" applyNumberFormat="1" applyFont="1"/>
    <xf numFmtId="2" fontId="22" fillId="32" borderId="0" xfId="0" applyNumberFormat="1" applyFont="1" applyFill="1"/>
    <xf numFmtId="2" fontId="29" fillId="32" borderId="0" xfId="0" applyNumberFormat="1" applyFont="1" applyFill="1"/>
    <xf numFmtId="3" fontId="22" fillId="0" borderId="0" xfId="0" applyNumberFormat="1" applyFont="1"/>
    <xf numFmtId="3" fontId="22" fillId="0" borderId="0" xfId="0" applyNumberFormat="1" applyFont="1" applyBorder="1" applyAlignment="1">
      <alignment horizontal="right"/>
    </xf>
    <xf numFmtId="3" fontId="25" fillId="0" borderId="0" xfId="0" applyNumberFormat="1" applyFont="1" applyAlignment="1">
      <alignment horizontal="right"/>
    </xf>
    <xf numFmtId="3" fontId="22" fillId="32" borderId="0" xfId="0" applyNumberFormat="1" applyFont="1" applyFill="1"/>
    <xf numFmtId="3" fontId="29" fillId="32" borderId="0" xfId="0" applyNumberFormat="1" applyFont="1" applyFill="1"/>
    <xf numFmtId="3" fontId="29" fillId="0" borderId="0" xfId="0" applyNumberFormat="1" applyFont="1"/>
    <xf numFmtId="0" fontId="29" fillId="32" borderId="0" xfId="0" applyFont="1" applyFill="1"/>
    <xf numFmtId="3" fontId="22"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3" fontId="27" fillId="0" borderId="0" xfId="0" applyNumberFormat="1" applyFont="1"/>
    <xf numFmtId="1" fontId="22" fillId="32" borderId="0" xfId="0" applyNumberFormat="1" applyFont="1" applyFill="1" applyAlignment="1">
      <alignment horizontal="right"/>
    </xf>
    <xf numFmtId="167" fontId="27" fillId="0" borderId="0" xfId="0" applyNumberFormat="1" applyFont="1"/>
    <xf numFmtId="1" fontId="35" fillId="0" borderId="0" xfId="0" applyNumberFormat="1" applyFont="1" applyBorder="1"/>
    <xf numFmtId="2" fontId="29" fillId="0" borderId="0" xfId="0" applyNumberFormat="1" applyFont="1" applyFill="1"/>
    <xf numFmtId="2" fontId="35" fillId="0" borderId="0" xfId="0" applyNumberFormat="1" applyFont="1"/>
    <xf numFmtId="0" fontId="35" fillId="0" borderId="0" xfId="0" applyFont="1"/>
    <xf numFmtId="169" fontId="29" fillId="0" borderId="0" xfId="0" applyNumberFormat="1" applyFont="1"/>
    <xf numFmtId="2" fontId="29" fillId="0" borderId="0" xfId="0" applyNumberFormat="1" applyFont="1" applyFill="1" applyAlignment="1">
      <alignment horizontal="center"/>
    </xf>
    <xf numFmtId="2" fontId="29" fillId="0" borderId="0" xfId="0" applyNumberFormat="1" applyFont="1" applyAlignment="1">
      <alignment horizontal="center"/>
    </xf>
    <xf numFmtId="3" fontId="29" fillId="0" borderId="0" xfId="0" applyNumberFormat="1" applyFont="1" applyAlignment="1">
      <alignment horizontal="center"/>
    </xf>
    <xf numFmtId="169" fontId="35" fillId="0" borderId="0" xfId="0" applyNumberFormat="1" applyFont="1"/>
    <xf numFmtId="3" fontId="29" fillId="0" borderId="0" xfId="0" applyNumberFormat="1" applyFont="1" applyFill="1"/>
    <xf numFmtId="171"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applyAlignment="1">
      <alignment horizontal="right"/>
    </xf>
    <xf numFmtId="172" fontId="22" fillId="0" borderId="0" xfId="0" applyNumberFormat="1" applyFont="1"/>
    <xf numFmtId="173" fontId="22" fillId="0" borderId="0" xfId="0" applyNumberFormat="1" applyFont="1"/>
  </cellXfs>
  <cellStyles count="5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DA54EF-B54B-D041-B2BB-60ED253A1C7F}" type="doc">
      <dgm:prSet loTypeId="urn:microsoft.com/office/officeart/2005/8/layout/hList2#1" loCatId="list" qsTypeId="urn:microsoft.com/office/officeart/2005/8/quickstyle/simple4" qsCatId="simple" csTypeId="urn:microsoft.com/office/officeart/2005/8/colors/accent1_2" csCatId="accent1" phldr="0"/>
      <dgm:spPr/>
      <dgm:t>
        <a:bodyPr/>
        <a:lstStyle/>
        <a:p>
          <a:endParaRPr lang="en-US"/>
        </a:p>
      </dgm:t>
    </dgm:pt>
    <dgm:pt modelId="{A0ABBEE4-B1F1-974B-B872-036CA771E93F}">
      <dgm:prSet phldrT="[Text]" phldr="1"/>
      <dgm:spPr/>
      <dgm:t>
        <a:bodyPr/>
        <a:lstStyle/>
        <a:p>
          <a:endParaRPr lang="en-US"/>
        </a:p>
      </dgm:t>
    </dgm:pt>
    <dgm:pt modelId="{54766ACB-CF80-2F49-B058-2993BDB2414F}" type="parTrans" cxnId="{F7EFAFC2-AC96-1C4A-B207-46F706B053D7}">
      <dgm:prSet/>
      <dgm:spPr/>
      <dgm:t>
        <a:bodyPr/>
        <a:lstStyle/>
        <a:p>
          <a:endParaRPr lang="en-US"/>
        </a:p>
      </dgm:t>
    </dgm:pt>
    <dgm:pt modelId="{DF70676E-E835-8948-90E5-3BDD7E6A59DF}" type="sibTrans" cxnId="{F7EFAFC2-AC96-1C4A-B207-46F706B053D7}">
      <dgm:prSet/>
      <dgm:spPr/>
      <dgm:t>
        <a:bodyPr/>
        <a:lstStyle/>
        <a:p>
          <a:endParaRPr lang="en-US"/>
        </a:p>
      </dgm:t>
    </dgm:pt>
    <dgm:pt modelId="{9839200C-656C-F344-B21C-114FBCB47972}">
      <dgm:prSet phldrT="[Text]" phldr="1"/>
      <dgm:spPr/>
      <dgm:t>
        <a:bodyPr/>
        <a:lstStyle/>
        <a:p>
          <a:endParaRPr lang="en-US"/>
        </a:p>
      </dgm:t>
    </dgm:pt>
    <dgm:pt modelId="{7E1D6BA5-DFE9-7444-BE11-FAFB1DF54379}" type="parTrans" cxnId="{272D0B83-1385-954A-B6F3-D95E6411422F}">
      <dgm:prSet/>
      <dgm:spPr/>
      <dgm:t>
        <a:bodyPr/>
        <a:lstStyle/>
        <a:p>
          <a:endParaRPr lang="en-US"/>
        </a:p>
      </dgm:t>
    </dgm:pt>
    <dgm:pt modelId="{CC7B5B64-D1ED-E148-B12F-229AB8726151}" type="sibTrans" cxnId="{272D0B83-1385-954A-B6F3-D95E6411422F}">
      <dgm:prSet/>
      <dgm:spPr/>
      <dgm:t>
        <a:bodyPr/>
        <a:lstStyle/>
        <a:p>
          <a:endParaRPr lang="en-US"/>
        </a:p>
      </dgm:t>
    </dgm:pt>
    <dgm:pt modelId="{8B96E3AC-550F-EE48-AC3D-BE16DACE9ED3}">
      <dgm:prSet phldrT="[Text]" phldr="1"/>
      <dgm:spPr/>
      <dgm:t>
        <a:bodyPr/>
        <a:lstStyle/>
        <a:p>
          <a:endParaRPr lang="en-US"/>
        </a:p>
      </dgm:t>
    </dgm:pt>
    <dgm:pt modelId="{71992637-0F3C-0146-A38D-BBC5B3EE2ADC}" type="parTrans" cxnId="{E18374F0-8C37-3643-82A4-CEB64EC6FB4E}">
      <dgm:prSet/>
      <dgm:spPr/>
      <dgm:t>
        <a:bodyPr/>
        <a:lstStyle/>
        <a:p>
          <a:endParaRPr lang="en-US"/>
        </a:p>
      </dgm:t>
    </dgm:pt>
    <dgm:pt modelId="{38C814D6-7446-CD43-B875-D7BC4E47BFBF}" type="sibTrans" cxnId="{E18374F0-8C37-3643-82A4-CEB64EC6FB4E}">
      <dgm:prSet/>
      <dgm:spPr/>
      <dgm:t>
        <a:bodyPr/>
        <a:lstStyle/>
        <a:p>
          <a:endParaRPr lang="en-US"/>
        </a:p>
      </dgm:t>
    </dgm:pt>
    <dgm:pt modelId="{34933A75-A1DD-4740-8CE9-CE033CE32E26}">
      <dgm:prSet phldrT="[Text]" phldr="1"/>
      <dgm:spPr/>
      <dgm:t>
        <a:bodyPr/>
        <a:lstStyle/>
        <a:p>
          <a:endParaRPr lang="en-US"/>
        </a:p>
      </dgm:t>
    </dgm:pt>
    <dgm:pt modelId="{A7F55C71-A536-4145-B703-144C1F294488}" type="parTrans" cxnId="{A2FB6854-F9F9-C940-A1F9-EC2929251981}">
      <dgm:prSet/>
      <dgm:spPr/>
      <dgm:t>
        <a:bodyPr/>
        <a:lstStyle/>
        <a:p>
          <a:endParaRPr lang="en-US"/>
        </a:p>
      </dgm:t>
    </dgm:pt>
    <dgm:pt modelId="{B92AF52E-7C97-7E48-ACD9-0F061E024863}" type="sibTrans" cxnId="{A2FB6854-F9F9-C940-A1F9-EC2929251981}">
      <dgm:prSet/>
      <dgm:spPr/>
      <dgm:t>
        <a:bodyPr/>
        <a:lstStyle/>
        <a:p>
          <a:endParaRPr lang="en-US"/>
        </a:p>
      </dgm:t>
    </dgm:pt>
    <dgm:pt modelId="{A8783978-E5B3-BE49-BEAA-524F0BA70168}">
      <dgm:prSet phldrT="[Text]" phldr="1"/>
      <dgm:spPr/>
      <dgm:t>
        <a:bodyPr/>
        <a:lstStyle/>
        <a:p>
          <a:endParaRPr lang="en-US"/>
        </a:p>
      </dgm:t>
    </dgm:pt>
    <dgm:pt modelId="{17559A5D-8799-404E-9094-F9E5AD87DE08}" type="parTrans" cxnId="{A5C71530-BB0C-1945-AB88-8DE569370C55}">
      <dgm:prSet/>
      <dgm:spPr/>
      <dgm:t>
        <a:bodyPr/>
        <a:lstStyle/>
        <a:p>
          <a:endParaRPr lang="en-US"/>
        </a:p>
      </dgm:t>
    </dgm:pt>
    <dgm:pt modelId="{E613B2C3-7F9B-C24B-9FF8-25B8CDE40861}" type="sibTrans" cxnId="{A5C71530-BB0C-1945-AB88-8DE569370C55}">
      <dgm:prSet/>
      <dgm:spPr/>
      <dgm:t>
        <a:bodyPr/>
        <a:lstStyle/>
        <a:p>
          <a:endParaRPr lang="en-US"/>
        </a:p>
      </dgm:t>
    </dgm:pt>
    <dgm:pt modelId="{A0C6B203-E65C-EF40-969F-9F570ED0AF4F}">
      <dgm:prSet phldrT="[Text]" phldr="1"/>
      <dgm:spPr/>
      <dgm:t>
        <a:bodyPr/>
        <a:lstStyle/>
        <a:p>
          <a:endParaRPr lang="en-US"/>
        </a:p>
      </dgm:t>
    </dgm:pt>
    <dgm:pt modelId="{EE437657-370E-7240-B062-2F2FA2B4E8A4}" type="parTrans" cxnId="{E87073A4-EBE6-8B4E-85BA-7E9E0600055A}">
      <dgm:prSet/>
      <dgm:spPr/>
      <dgm:t>
        <a:bodyPr/>
        <a:lstStyle/>
        <a:p>
          <a:endParaRPr lang="en-US"/>
        </a:p>
      </dgm:t>
    </dgm:pt>
    <dgm:pt modelId="{1A281BCB-71EA-FC4A-B006-B7B54888A507}" type="sibTrans" cxnId="{E87073A4-EBE6-8B4E-85BA-7E9E0600055A}">
      <dgm:prSet/>
      <dgm:spPr/>
      <dgm:t>
        <a:bodyPr/>
        <a:lstStyle/>
        <a:p>
          <a:endParaRPr lang="en-US"/>
        </a:p>
      </dgm:t>
    </dgm:pt>
    <dgm:pt modelId="{270A140E-23A6-4B44-A68A-956384D0FB64}" type="pres">
      <dgm:prSet presAssocID="{09DA54EF-B54B-D041-B2BB-60ED253A1C7F}" presName="linearFlow" presStyleCnt="0">
        <dgm:presLayoutVars>
          <dgm:dir/>
          <dgm:animLvl val="lvl"/>
          <dgm:resizeHandles/>
        </dgm:presLayoutVars>
      </dgm:prSet>
      <dgm:spPr/>
      <dgm:t>
        <a:bodyPr/>
        <a:lstStyle/>
        <a:p>
          <a:endParaRPr lang="en-US"/>
        </a:p>
      </dgm:t>
    </dgm:pt>
    <dgm:pt modelId="{70A59931-96B9-EE4E-A8F7-08686AB53248}" type="pres">
      <dgm:prSet presAssocID="{A0ABBEE4-B1F1-974B-B872-036CA771E93F}" presName="compositeNode" presStyleCnt="0">
        <dgm:presLayoutVars>
          <dgm:bulletEnabled val="1"/>
        </dgm:presLayoutVars>
      </dgm:prSet>
      <dgm:spPr/>
    </dgm:pt>
    <dgm:pt modelId="{75FF0858-1434-3745-BBE5-74AAAFBEB217}" type="pres">
      <dgm:prSet presAssocID="{A0ABBEE4-B1F1-974B-B872-036CA771E93F}" presName="image" presStyleLbl="fgImgPlace1" presStyleIdx="0" presStyleCnt="3"/>
      <dgm:spPr/>
    </dgm:pt>
    <dgm:pt modelId="{CDE6BBE7-D97A-F94A-B593-292F1501F46E}" type="pres">
      <dgm:prSet presAssocID="{A0ABBEE4-B1F1-974B-B872-036CA771E93F}" presName="childNode" presStyleLbl="node1" presStyleIdx="0" presStyleCnt="3" custLinFactNeighborX="10420" custLinFactNeighborY="-5342">
        <dgm:presLayoutVars>
          <dgm:bulletEnabled val="1"/>
        </dgm:presLayoutVars>
      </dgm:prSet>
      <dgm:spPr/>
      <dgm:t>
        <a:bodyPr/>
        <a:lstStyle/>
        <a:p>
          <a:endParaRPr lang="en-US"/>
        </a:p>
      </dgm:t>
    </dgm:pt>
    <dgm:pt modelId="{07642977-0DC0-5C45-BB07-673A606AE197}" type="pres">
      <dgm:prSet presAssocID="{A0ABBEE4-B1F1-974B-B872-036CA771E93F}" presName="parentNode" presStyleLbl="revTx" presStyleIdx="0" presStyleCnt="3">
        <dgm:presLayoutVars>
          <dgm:chMax val="0"/>
          <dgm:bulletEnabled val="1"/>
        </dgm:presLayoutVars>
      </dgm:prSet>
      <dgm:spPr/>
      <dgm:t>
        <a:bodyPr/>
        <a:lstStyle/>
        <a:p>
          <a:endParaRPr lang="en-US"/>
        </a:p>
      </dgm:t>
    </dgm:pt>
    <dgm:pt modelId="{2F7D00A8-A351-3C49-8476-6B8B6DAEA84C}" type="pres">
      <dgm:prSet presAssocID="{DF70676E-E835-8948-90E5-3BDD7E6A59DF}" presName="sibTrans" presStyleCnt="0"/>
      <dgm:spPr/>
    </dgm:pt>
    <dgm:pt modelId="{DD5BEA73-8A79-3947-B573-32661106B965}" type="pres">
      <dgm:prSet presAssocID="{34933A75-A1DD-4740-8CE9-CE033CE32E26}" presName="compositeNode" presStyleCnt="0">
        <dgm:presLayoutVars>
          <dgm:bulletEnabled val="1"/>
        </dgm:presLayoutVars>
      </dgm:prSet>
      <dgm:spPr/>
    </dgm:pt>
    <dgm:pt modelId="{60269629-A5B2-0D48-81D7-8C10652CEA32}" type="pres">
      <dgm:prSet presAssocID="{34933A75-A1DD-4740-8CE9-CE033CE32E26}" presName="image" presStyleLbl="fgImgPlace1" presStyleIdx="1" presStyleCnt="3"/>
      <dgm:spPr/>
    </dgm:pt>
    <dgm:pt modelId="{0CFFDFB9-02DE-AE4A-841E-4EB68480790E}" type="pres">
      <dgm:prSet presAssocID="{34933A75-A1DD-4740-8CE9-CE033CE32E26}" presName="childNode" presStyleLbl="node1" presStyleIdx="1" presStyleCnt="3" custLinFactX="-280461" custLinFactY="-100000" custLinFactNeighborX="-300000" custLinFactNeighborY="-188462">
        <dgm:presLayoutVars>
          <dgm:bulletEnabled val="1"/>
        </dgm:presLayoutVars>
      </dgm:prSet>
      <dgm:spPr/>
      <dgm:t>
        <a:bodyPr/>
        <a:lstStyle/>
        <a:p>
          <a:endParaRPr lang="en-US"/>
        </a:p>
      </dgm:t>
    </dgm:pt>
    <dgm:pt modelId="{0EB8BA47-A8BF-A143-A896-8BF0199A73E5}" type="pres">
      <dgm:prSet presAssocID="{34933A75-A1DD-4740-8CE9-CE033CE32E26}" presName="parentNode" presStyleLbl="revTx" presStyleIdx="1" presStyleCnt="3">
        <dgm:presLayoutVars>
          <dgm:chMax val="0"/>
          <dgm:bulletEnabled val="1"/>
        </dgm:presLayoutVars>
      </dgm:prSet>
      <dgm:spPr/>
      <dgm:t>
        <a:bodyPr/>
        <a:lstStyle/>
        <a:p>
          <a:endParaRPr lang="en-US"/>
        </a:p>
      </dgm:t>
    </dgm:pt>
    <dgm:pt modelId="{3CAD6239-78B6-7841-840C-A2E5B28EB635}" type="pres">
      <dgm:prSet presAssocID="{B92AF52E-7C97-7E48-ACD9-0F061E024863}" presName="sibTrans" presStyleCnt="0"/>
      <dgm:spPr/>
    </dgm:pt>
    <dgm:pt modelId="{5682FE9C-55D5-EE45-B17F-4F951196938D}" type="pres">
      <dgm:prSet presAssocID="{A8783978-E5B3-BE49-BEAA-524F0BA70168}" presName="compositeNode" presStyleCnt="0">
        <dgm:presLayoutVars>
          <dgm:bulletEnabled val="1"/>
        </dgm:presLayoutVars>
      </dgm:prSet>
      <dgm:spPr/>
    </dgm:pt>
    <dgm:pt modelId="{AE7C0A67-82F8-BF40-81E4-C8D934E0B8F8}" type="pres">
      <dgm:prSet presAssocID="{A8783978-E5B3-BE49-BEAA-524F0BA70168}" presName="image" presStyleLbl="fgImgPlace1" presStyleIdx="2" presStyleCnt="3"/>
      <dgm:spPr/>
    </dgm:pt>
    <dgm:pt modelId="{588435D6-35C3-7E4D-AD29-AF2D8075F206}" type="pres">
      <dgm:prSet presAssocID="{A8783978-E5B3-BE49-BEAA-524F0BA70168}" presName="childNode" presStyleLbl="node1" presStyleIdx="2" presStyleCnt="3">
        <dgm:presLayoutVars>
          <dgm:bulletEnabled val="1"/>
        </dgm:presLayoutVars>
      </dgm:prSet>
      <dgm:spPr/>
      <dgm:t>
        <a:bodyPr/>
        <a:lstStyle/>
        <a:p>
          <a:endParaRPr lang="en-US"/>
        </a:p>
      </dgm:t>
    </dgm:pt>
    <dgm:pt modelId="{51C0DF28-0C7E-7246-AE0A-FCB2248A0F55}" type="pres">
      <dgm:prSet presAssocID="{A8783978-E5B3-BE49-BEAA-524F0BA70168}" presName="parentNode" presStyleLbl="revTx" presStyleIdx="2" presStyleCnt="3">
        <dgm:presLayoutVars>
          <dgm:chMax val="0"/>
          <dgm:bulletEnabled val="1"/>
        </dgm:presLayoutVars>
      </dgm:prSet>
      <dgm:spPr/>
      <dgm:t>
        <a:bodyPr/>
        <a:lstStyle/>
        <a:p>
          <a:endParaRPr lang="en-US"/>
        </a:p>
      </dgm:t>
    </dgm:pt>
  </dgm:ptLst>
  <dgm:cxnLst>
    <dgm:cxn modelId="{839B746A-34E1-B64B-9E2F-BF3DA8CA6316}" type="presOf" srcId="{8B96E3AC-550F-EE48-AC3D-BE16DACE9ED3}" destId="{CDE6BBE7-D97A-F94A-B593-292F1501F46E}" srcOrd="0" destOrd="1" presId="urn:microsoft.com/office/officeart/2005/8/layout/hList2#1"/>
    <dgm:cxn modelId="{A0B929F4-FD6C-1C49-BEA6-AC124C0E5AA7}" type="presOf" srcId="{9839200C-656C-F344-B21C-114FBCB47972}" destId="{CDE6BBE7-D97A-F94A-B593-292F1501F46E}" srcOrd="0" destOrd="0" presId="urn:microsoft.com/office/officeart/2005/8/layout/hList2#1"/>
    <dgm:cxn modelId="{07C068C5-7243-F843-A8A2-68088357BD46}" type="presOf" srcId="{A0C6B203-E65C-EF40-969F-9F570ED0AF4F}" destId="{588435D6-35C3-7E4D-AD29-AF2D8075F206}" srcOrd="0" destOrd="0" presId="urn:microsoft.com/office/officeart/2005/8/layout/hList2#1"/>
    <dgm:cxn modelId="{A2FB6854-F9F9-C940-A1F9-EC2929251981}" srcId="{09DA54EF-B54B-D041-B2BB-60ED253A1C7F}" destId="{34933A75-A1DD-4740-8CE9-CE033CE32E26}" srcOrd="1" destOrd="0" parTransId="{A7F55C71-A536-4145-B703-144C1F294488}" sibTransId="{B92AF52E-7C97-7E48-ACD9-0F061E024863}"/>
    <dgm:cxn modelId="{272D0B83-1385-954A-B6F3-D95E6411422F}" srcId="{A0ABBEE4-B1F1-974B-B872-036CA771E93F}" destId="{9839200C-656C-F344-B21C-114FBCB47972}" srcOrd="0" destOrd="0" parTransId="{7E1D6BA5-DFE9-7444-BE11-FAFB1DF54379}" sibTransId="{CC7B5B64-D1ED-E148-B12F-229AB8726151}"/>
    <dgm:cxn modelId="{E18374F0-8C37-3643-82A4-CEB64EC6FB4E}" srcId="{A0ABBEE4-B1F1-974B-B872-036CA771E93F}" destId="{8B96E3AC-550F-EE48-AC3D-BE16DACE9ED3}" srcOrd="1" destOrd="0" parTransId="{71992637-0F3C-0146-A38D-BBC5B3EE2ADC}" sibTransId="{38C814D6-7446-CD43-B875-D7BC4E47BFBF}"/>
    <dgm:cxn modelId="{141F879E-9467-5A40-A031-3D873AE6B199}" type="presOf" srcId="{09DA54EF-B54B-D041-B2BB-60ED253A1C7F}" destId="{270A140E-23A6-4B44-A68A-956384D0FB64}" srcOrd="0" destOrd="0" presId="urn:microsoft.com/office/officeart/2005/8/layout/hList2#1"/>
    <dgm:cxn modelId="{4E69C518-FF03-A74E-89A0-DB8E0E8D78FC}" type="presOf" srcId="{A8783978-E5B3-BE49-BEAA-524F0BA70168}" destId="{51C0DF28-0C7E-7246-AE0A-FCB2248A0F55}" srcOrd="0" destOrd="0" presId="urn:microsoft.com/office/officeart/2005/8/layout/hList2#1"/>
    <dgm:cxn modelId="{F7EFAFC2-AC96-1C4A-B207-46F706B053D7}" srcId="{09DA54EF-B54B-D041-B2BB-60ED253A1C7F}" destId="{A0ABBEE4-B1F1-974B-B872-036CA771E93F}" srcOrd="0" destOrd="0" parTransId="{54766ACB-CF80-2F49-B058-2993BDB2414F}" sibTransId="{DF70676E-E835-8948-90E5-3BDD7E6A59DF}"/>
    <dgm:cxn modelId="{E87073A4-EBE6-8B4E-85BA-7E9E0600055A}" srcId="{A8783978-E5B3-BE49-BEAA-524F0BA70168}" destId="{A0C6B203-E65C-EF40-969F-9F570ED0AF4F}" srcOrd="0" destOrd="0" parTransId="{EE437657-370E-7240-B062-2F2FA2B4E8A4}" sibTransId="{1A281BCB-71EA-FC4A-B006-B7B54888A507}"/>
    <dgm:cxn modelId="{F63064CB-E6CF-7341-922C-FC9665F89DB9}" type="presOf" srcId="{34933A75-A1DD-4740-8CE9-CE033CE32E26}" destId="{0EB8BA47-A8BF-A143-A896-8BF0199A73E5}" srcOrd="0" destOrd="0" presId="urn:microsoft.com/office/officeart/2005/8/layout/hList2#1"/>
    <dgm:cxn modelId="{73B1CDBE-315C-A549-9145-03D50B30FE75}" type="presOf" srcId="{A0ABBEE4-B1F1-974B-B872-036CA771E93F}" destId="{07642977-0DC0-5C45-BB07-673A606AE197}" srcOrd="0" destOrd="0" presId="urn:microsoft.com/office/officeart/2005/8/layout/hList2#1"/>
    <dgm:cxn modelId="{A5C71530-BB0C-1945-AB88-8DE569370C55}" srcId="{09DA54EF-B54B-D041-B2BB-60ED253A1C7F}" destId="{A8783978-E5B3-BE49-BEAA-524F0BA70168}" srcOrd="2" destOrd="0" parTransId="{17559A5D-8799-404E-9094-F9E5AD87DE08}" sibTransId="{E613B2C3-7F9B-C24B-9FF8-25B8CDE40861}"/>
    <dgm:cxn modelId="{5176293C-C87C-7A43-9671-3C927AF9B9A2}" type="presParOf" srcId="{270A140E-23A6-4B44-A68A-956384D0FB64}" destId="{70A59931-96B9-EE4E-A8F7-08686AB53248}" srcOrd="0" destOrd="0" presId="urn:microsoft.com/office/officeart/2005/8/layout/hList2#1"/>
    <dgm:cxn modelId="{778E0AA3-D3A6-374B-BA0A-6AACB74F1AF7}" type="presParOf" srcId="{70A59931-96B9-EE4E-A8F7-08686AB53248}" destId="{75FF0858-1434-3745-BBE5-74AAAFBEB217}" srcOrd="0" destOrd="0" presId="urn:microsoft.com/office/officeart/2005/8/layout/hList2#1"/>
    <dgm:cxn modelId="{44BA6F9E-83AC-224D-937F-8711E8233E29}" type="presParOf" srcId="{70A59931-96B9-EE4E-A8F7-08686AB53248}" destId="{CDE6BBE7-D97A-F94A-B593-292F1501F46E}" srcOrd="1" destOrd="0" presId="urn:microsoft.com/office/officeart/2005/8/layout/hList2#1"/>
    <dgm:cxn modelId="{75E356CB-A882-A941-802F-C52B3437C5EE}" type="presParOf" srcId="{70A59931-96B9-EE4E-A8F7-08686AB53248}" destId="{07642977-0DC0-5C45-BB07-673A606AE197}" srcOrd="2" destOrd="0" presId="urn:microsoft.com/office/officeart/2005/8/layout/hList2#1"/>
    <dgm:cxn modelId="{493FC4F4-8E7C-DC4E-B8E2-86B8FC8AEE8D}" type="presParOf" srcId="{270A140E-23A6-4B44-A68A-956384D0FB64}" destId="{2F7D00A8-A351-3C49-8476-6B8B6DAEA84C}" srcOrd="1" destOrd="0" presId="urn:microsoft.com/office/officeart/2005/8/layout/hList2#1"/>
    <dgm:cxn modelId="{14D4A6FA-EF57-8F4B-8150-F35C0FD9F5C8}" type="presParOf" srcId="{270A140E-23A6-4B44-A68A-956384D0FB64}" destId="{DD5BEA73-8A79-3947-B573-32661106B965}" srcOrd="2" destOrd="0" presId="urn:microsoft.com/office/officeart/2005/8/layout/hList2#1"/>
    <dgm:cxn modelId="{AFD5FF04-3B50-4946-9D24-C6ADBE7EDB22}" type="presParOf" srcId="{DD5BEA73-8A79-3947-B573-32661106B965}" destId="{60269629-A5B2-0D48-81D7-8C10652CEA32}" srcOrd="0" destOrd="0" presId="urn:microsoft.com/office/officeart/2005/8/layout/hList2#1"/>
    <dgm:cxn modelId="{1DA2CF77-BAB2-DC4C-A2CA-2A97AEC6BB1A}" type="presParOf" srcId="{DD5BEA73-8A79-3947-B573-32661106B965}" destId="{0CFFDFB9-02DE-AE4A-841E-4EB68480790E}" srcOrd="1" destOrd="0" presId="urn:microsoft.com/office/officeart/2005/8/layout/hList2#1"/>
    <dgm:cxn modelId="{4F246E88-AB05-F542-97A5-90D7C4CD5888}" type="presParOf" srcId="{DD5BEA73-8A79-3947-B573-32661106B965}" destId="{0EB8BA47-A8BF-A143-A896-8BF0199A73E5}" srcOrd="2" destOrd="0" presId="urn:microsoft.com/office/officeart/2005/8/layout/hList2#1"/>
    <dgm:cxn modelId="{6B8A0403-C2F5-FD42-9730-9826B9B8F483}" type="presParOf" srcId="{270A140E-23A6-4B44-A68A-956384D0FB64}" destId="{3CAD6239-78B6-7841-840C-A2E5B28EB635}" srcOrd="3" destOrd="0" presId="urn:microsoft.com/office/officeart/2005/8/layout/hList2#1"/>
    <dgm:cxn modelId="{054E7022-603A-E94F-95A7-FC16170068AC}" type="presParOf" srcId="{270A140E-23A6-4B44-A68A-956384D0FB64}" destId="{5682FE9C-55D5-EE45-B17F-4F951196938D}" srcOrd="4" destOrd="0" presId="urn:microsoft.com/office/officeart/2005/8/layout/hList2#1"/>
    <dgm:cxn modelId="{41E09C45-7C28-FE44-947E-D2C52E0DE3DE}" type="presParOf" srcId="{5682FE9C-55D5-EE45-B17F-4F951196938D}" destId="{AE7C0A67-82F8-BF40-81E4-C8D934E0B8F8}" srcOrd="0" destOrd="0" presId="urn:microsoft.com/office/officeart/2005/8/layout/hList2#1"/>
    <dgm:cxn modelId="{BEEF5DA1-161A-9045-ACB0-B38DBA86726B}" type="presParOf" srcId="{5682FE9C-55D5-EE45-B17F-4F951196938D}" destId="{588435D6-35C3-7E4D-AD29-AF2D8075F206}" srcOrd="1" destOrd="0" presId="urn:microsoft.com/office/officeart/2005/8/layout/hList2#1"/>
    <dgm:cxn modelId="{226B01A8-9B30-864A-B231-E6CB1DAD37FE}" type="presParOf" srcId="{5682FE9C-55D5-EE45-B17F-4F951196938D}" destId="{51C0DF28-0C7E-7246-AE0A-FCB2248A0F55}" srcOrd="2" destOrd="0" presId="urn:microsoft.com/office/officeart/2005/8/layout/hList2#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7642977-0DC0-5C45-BB07-673A606AE197}">
      <dsp:nvSpPr>
        <dsp:cNvPr id="0" name=""/>
        <dsp:cNvSpPr/>
      </dsp:nvSpPr>
      <dsp:spPr>
        <a:xfrm rot="16200000">
          <a:off x="-75396" y="102583"/>
          <a:ext cx="158496" cy="614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5423" bIns="0" numCol="1" spcCol="1270" anchor="t" anchorCtr="0">
          <a:noAutofit/>
        </a:bodyPr>
        <a:lstStyle/>
        <a:p>
          <a:pPr lvl="0" algn="r" defTabSz="222250">
            <a:lnSpc>
              <a:spcPct val="90000"/>
            </a:lnSpc>
            <a:spcBef>
              <a:spcPct val="0"/>
            </a:spcBef>
            <a:spcAft>
              <a:spcPct val="35000"/>
            </a:spcAft>
          </a:pPr>
          <a:endParaRPr lang="en-US" sz="500" kern="1200"/>
        </a:p>
      </dsp:txBody>
      <dsp:txXfrm>
        <a:off x="-75396" y="102583"/>
        <a:ext cx="158496" cy="6149"/>
      </dsp:txXfrm>
    </dsp:sp>
    <dsp:sp modelId="{CDE6BBE7-D97A-F94A-B593-292F1501F46E}">
      <dsp:nvSpPr>
        <dsp:cNvPr id="0" name=""/>
        <dsp:cNvSpPr/>
      </dsp:nvSpPr>
      <dsp:spPr>
        <a:xfrm>
          <a:off x="10117" y="17943"/>
          <a:ext cx="30630" cy="158496"/>
        </a:xfrm>
        <a:prstGeom prst="rect">
          <a:avLst/>
        </a:prstGeom>
        <a:gradFill rotWithShape="0">
          <a:gsLst>
            <a:gs pos="0">
              <a:schemeClr val="accent1">
                <a:hueOff val="0"/>
                <a:satOff val="0"/>
                <a:lumOff val="0"/>
                <a:alphaOff val="0"/>
                <a:tint val="100000"/>
                <a:shade val="100000"/>
                <a:satMod val="130000"/>
              </a:schemeClr>
            </a:gs>
            <a:gs pos="100000">
              <a:schemeClr val="accent1">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35560" tIns="5423" rIns="35560" bIns="35560" numCol="1" spcCol="1270" anchor="t" anchorCtr="0">
          <a:noAutofit/>
        </a:bodyPr>
        <a:lstStyle/>
        <a:p>
          <a:pPr marL="57150" lvl="1" indent="-57150" algn="l" defTabSz="177800">
            <a:lnSpc>
              <a:spcPct val="90000"/>
            </a:lnSpc>
            <a:spcBef>
              <a:spcPct val="0"/>
            </a:spcBef>
            <a:spcAft>
              <a:spcPct val="15000"/>
            </a:spcAft>
            <a:buChar char="••"/>
          </a:pPr>
          <a:endParaRPr lang="en-US" sz="400" kern="1200"/>
        </a:p>
        <a:p>
          <a:pPr marL="57150" lvl="1" indent="-57150" algn="l" defTabSz="177800">
            <a:lnSpc>
              <a:spcPct val="90000"/>
            </a:lnSpc>
            <a:spcBef>
              <a:spcPct val="0"/>
            </a:spcBef>
            <a:spcAft>
              <a:spcPct val="15000"/>
            </a:spcAft>
            <a:buChar char="••"/>
          </a:pPr>
          <a:endParaRPr lang="en-US" sz="400" kern="1200"/>
        </a:p>
      </dsp:txBody>
      <dsp:txXfrm>
        <a:off x="10117" y="17943"/>
        <a:ext cx="30630" cy="158496"/>
      </dsp:txXfrm>
    </dsp:sp>
    <dsp:sp modelId="{75FF0858-1434-3745-BBE5-74AAAFBEB217}">
      <dsp:nvSpPr>
        <dsp:cNvPr id="0" name=""/>
        <dsp:cNvSpPr/>
      </dsp:nvSpPr>
      <dsp:spPr>
        <a:xfrm>
          <a:off x="776" y="18293"/>
          <a:ext cx="12298" cy="12298"/>
        </a:xfrm>
        <a:prstGeom prst="rect">
          <a:avLst/>
        </a:prstGeom>
        <a:solidFill>
          <a:schemeClr val="accent1">
            <a:tint val="50000"/>
            <a:hueOff val="0"/>
            <a:satOff val="0"/>
            <a:lumOff val="0"/>
            <a:alphaOff val="0"/>
          </a:schemeClr>
        </a:solid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0EB8BA47-A8BF-A143-A896-8BF0199A73E5}">
      <dsp:nvSpPr>
        <dsp:cNvPr id="0" name=""/>
        <dsp:cNvSpPr/>
      </dsp:nvSpPr>
      <dsp:spPr>
        <a:xfrm rot="16200000">
          <a:off x="-31063" y="102583"/>
          <a:ext cx="158496" cy="614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5423" bIns="0" numCol="1" spcCol="1270" anchor="t" anchorCtr="0">
          <a:noAutofit/>
        </a:bodyPr>
        <a:lstStyle/>
        <a:p>
          <a:pPr lvl="0" algn="r" defTabSz="222250">
            <a:lnSpc>
              <a:spcPct val="90000"/>
            </a:lnSpc>
            <a:spcBef>
              <a:spcPct val="0"/>
            </a:spcBef>
            <a:spcAft>
              <a:spcPct val="35000"/>
            </a:spcAft>
          </a:pPr>
          <a:endParaRPr lang="en-US" sz="500" kern="1200"/>
        </a:p>
      </dsp:txBody>
      <dsp:txXfrm>
        <a:off x="-31063" y="102583"/>
        <a:ext cx="158496" cy="6149"/>
      </dsp:txXfrm>
    </dsp:sp>
    <dsp:sp modelId="{0CFFDFB9-02DE-AE4A-841E-4EB68480790E}">
      <dsp:nvSpPr>
        <dsp:cNvPr id="0" name=""/>
        <dsp:cNvSpPr/>
      </dsp:nvSpPr>
      <dsp:spPr>
        <a:xfrm>
          <a:off x="0" y="0"/>
          <a:ext cx="30630" cy="158496"/>
        </a:xfrm>
        <a:prstGeom prst="rect">
          <a:avLst/>
        </a:prstGeom>
        <a:gradFill rotWithShape="0">
          <a:gsLst>
            <a:gs pos="0">
              <a:schemeClr val="accent1">
                <a:hueOff val="0"/>
                <a:satOff val="0"/>
                <a:lumOff val="0"/>
                <a:alphaOff val="0"/>
                <a:tint val="100000"/>
                <a:shade val="100000"/>
                <a:satMod val="130000"/>
              </a:schemeClr>
            </a:gs>
            <a:gs pos="100000">
              <a:schemeClr val="accent1">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sp>
    <dsp:sp modelId="{60269629-A5B2-0D48-81D7-8C10652CEA32}">
      <dsp:nvSpPr>
        <dsp:cNvPr id="0" name=""/>
        <dsp:cNvSpPr/>
      </dsp:nvSpPr>
      <dsp:spPr>
        <a:xfrm>
          <a:off x="45109" y="18293"/>
          <a:ext cx="12298" cy="12298"/>
        </a:xfrm>
        <a:prstGeom prst="rect">
          <a:avLst/>
        </a:prstGeom>
        <a:solidFill>
          <a:schemeClr val="accent1">
            <a:tint val="50000"/>
            <a:hueOff val="0"/>
            <a:satOff val="0"/>
            <a:lumOff val="0"/>
            <a:alphaOff val="0"/>
          </a:schemeClr>
        </a:solid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51C0DF28-0C7E-7246-AE0A-FCB2248A0F55}">
      <dsp:nvSpPr>
        <dsp:cNvPr id="0" name=""/>
        <dsp:cNvSpPr/>
      </dsp:nvSpPr>
      <dsp:spPr>
        <a:xfrm rot="16200000">
          <a:off x="13269" y="102583"/>
          <a:ext cx="158496" cy="614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5423" bIns="0" numCol="1" spcCol="1270" anchor="t" anchorCtr="0">
          <a:noAutofit/>
        </a:bodyPr>
        <a:lstStyle/>
        <a:p>
          <a:pPr lvl="0" algn="r" defTabSz="222250">
            <a:lnSpc>
              <a:spcPct val="90000"/>
            </a:lnSpc>
            <a:spcBef>
              <a:spcPct val="0"/>
            </a:spcBef>
            <a:spcAft>
              <a:spcPct val="35000"/>
            </a:spcAft>
          </a:pPr>
          <a:endParaRPr lang="en-US" sz="500" kern="1200"/>
        </a:p>
      </dsp:txBody>
      <dsp:txXfrm>
        <a:off x="13269" y="102583"/>
        <a:ext cx="158496" cy="6149"/>
      </dsp:txXfrm>
    </dsp:sp>
    <dsp:sp modelId="{588435D6-35C3-7E4D-AD29-AF2D8075F206}">
      <dsp:nvSpPr>
        <dsp:cNvPr id="0" name=""/>
        <dsp:cNvSpPr/>
      </dsp:nvSpPr>
      <dsp:spPr>
        <a:xfrm>
          <a:off x="95592" y="26410"/>
          <a:ext cx="30630" cy="158496"/>
        </a:xfrm>
        <a:prstGeom prst="rect">
          <a:avLst/>
        </a:prstGeom>
        <a:gradFill rotWithShape="0">
          <a:gsLst>
            <a:gs pos="0">
              <a:schemeClr val="accent1">
                <a:hueOff val="0"/>
                <a:satOff val="0"/>
                <a:lumOff val="0"/>
                <a:alphaOff val="0"/>
                <a:tint val="100000"/>
                <a:shade val="100000"/>
                <a:satMod val="130000"/>
              </a:schemeClr>
            </a:gs>
            <a:gs pos="100000">
              <a:schemeClr val="accent1">
                <a:hueOff val="0"/>
                <a:satOff val="0"/>
                <a:lumOff val="0"/>
                <a:alphaOff val="0"/>
                <a:tint val="50000"/>
                <a:shade val="100000"/>
                <a:satMod val="350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35560" tIns="5423" rIns="35560" bIns="35560" numCol="1" spcCol="1270" anchor="t" anchorCtr="0">
          <a:noAutofit/>
        </a:bodyPr>
        <a:lstStyle/>
        <a:p>
          <a:pPr marL="57150" lvl="1" indent="-57150" algn="l" defTabSz="177800">
            <a:lnSpc>
              <a:spcPct val="90000"/>
            </a:lnSpc>
            <a:spcBef>
              <a:spcPct val="0"/>
            </a:spcBef>
            <a:spcAft>
              <a:spcPct val="15000"/>
            </a:spcAft>
            <a:buChar char="••"/>
          </a:pPr>
          <a:endParaRPr lang="en-US" sz="400" kern="1200"/>
        </a:p>
      </dsp:txBody>
      <dsp:txXfrm>
        <a:off x="95592" y="26410"/>
        <a:ext cx="30630" cy="158496"/>
      </dsp:txXfrm>
    </dsp:sp>
    <dsp:sp modelId="{AE7C0A67-82F8-BF40-81E4-C8D934E0B8F8}">
      <dsp:nvSpPr>
        <dsp:cNvPr id="0" name=""/>
        <dsp:cNvSpPr/>
      </dsp:nvSpPr>
      <dsp:spPr>
        <a:xfrm>
          <a:off x="89443" y="18293"/>
          <a:ext cx="12298" cy="12298"/>
        </a:xfrm>
        <a:prstGeom prst="rect">
          <a:avLst/>
        </a:prstGeom>
        <a:solidFill>
          <a:schemeClr val="accent1">
            <a:tint val="50000"/>
            <a:hueOff val="0"/>
            <a:satOff val="0"/>
            <a:lumOff val="0"/>
            <a:alphaOff val="0"/>
          </a:schemeClr>
        </a:solid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hList2#1">
  <dgm:title val=""/>
  <dgm:desc val=""/>
  <dgm:catLst>
    <dgm:cat type="list" pri="6000"/>
    <dgm:cat type="relationship" pri="1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dgm:varLst>
    <dgm:choose name="Name0">
      <dgm:if name="Name1" func="var" arg="dir" op="equ" val="norm">
        <dgm:alg type="lin">
          <dgm:param type="linDir" val="fromL"/>
          <dgm:param type="nodeVertAlign" val="t"/>
        </dgm:alg>
      </dgm:if>
      <dgm:else name="Name2">
        <dgm:alg type="lin">
          <dgm:param type="linDir" val="fromR"/>
          <dgm:param type="nodeVertAlign" val="t"/>
        </dgm:alg>
      </dgm:else>
    </dgm:choose>
    <dgm:shape xmlns:r="http://schemas.openxmlformats.org/officeDocument/2006/relationships" r:blip="">
      <dgm:adjLst/>
    </dgm:shape>
    <dgm:presOf/>
    <dgm:constrLst>
      <dgm:constr type="w" for="ch" forName="compositeNode" refType="w"/>
      <dgm:constr type="h" for="ch" forName="compositeNode" refType="h"/>
      <dgm:constr type="w" for="ch" forName="sibTrans" refType="w" refFor="ch" refForName="compositeNode" op="equ" fact="0.2"/>
      <dgm:constr type="h" for="des" forName="childNode" op="equ"/>
      <dgm:constr type="w" for="des" forName="childNode" op="equ"/>
      <dgm:constr type="w" for="des" forName="parentNode" op="equ"/>
      <dgm:constr type="h" for="des" forName="image" op="equ"/>
      <dgm:constr type="w" for="des" forName="image" op="equ"/>
      <dgm:constr type="primFontSz" for="des" forName="parentNode" op="equ" val="65"/>
      <dgm:constr type="primFontSz" for="des" forName="childNode" op="equ" val="65"/>
    </dgm:constrLst>
    <dgm:ruleLst/>
    <dgm:forEach name="Name3" axis="ch" ptType="node">
      <dgm:layoutNode name="compositeNode">
        <dgm:varLst>
          <dgm:bulletEnabled val="1"/>
        </dgm:varLst>
        <dgm:alg type="composite"/>
        <dgm:presOf/>
        <dgm:choose name="Name4">
          <dgm:if name="Name5" func="var" arg="dir" op="equ" val="norm">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l" for="ch" forName="image"/>
              <dgm:constr type="w" for="ch" forName="childNode" refType="w" fact="0.85"/>
              <dgm:constr type="h" for="ch" forName="childNode" refType="h" fact="0.78"/>
              <dgm:constr type="t" for="ch" forName="childNode" refType="h" refFor="ch" refForName="image" fact="0.66"/>
              <dgm:constr type="l"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l" for="ch" forName="parentNode"/>
              <dgm:constr type="r" for="ch" forName="parentNode" refType="l" refFor="ch" refForName="childNode"/>
              <dgm:constr type="rMarg" for="ch" forName="parentNode" refType="w" refFor="ch" refForName="image" fact="1.25"/>
            </dgm:constrLst>
          </dgm:if>
          <dgm:else name="Name6">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r" for="ch" forName="image" refType="w"/>
              <dgm:constr type="w" for="ch" forName="childNode" refType="w" fact="0.85"/>
              <dgm:constr type="h" for="ch" forName="childNode" refType="h" fact="0.78"/>
              <dgm:constr type="t" for="ch" forName="childNode" refType="h" refFor="ch" refForName="image" fact="0.66"/>
              <dgm:constr type="r" for="ch" forName="childNode" refType="w"/>
              <dgm:constr type="rOff"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r" for="ch" forName="parentNode" refType="w"/>
              <dgm:constr type="l" for="ch" forName="parentNode" refType="r" refFor="ch" refForName="childNode"/>
              <dgm:constr type="lOff" for="ch" forName="parentNode" refType="rOff" refFor="ch" refForName="childNode"/>
              <dgm:constr type="lMarg" for="ch" forName="parentNode" refType="w" refFor="ch" refForName="image" fact="1.25"/>
            </dgm:constrLst>
          </dgm:else>
        </dgm:choose>
        <dgm:ruleLst>
          <dgm:rule type="w" for="ch" forName="childNode" val="NaN" fact="0.4" max="NaN"/>
          <dgm:rule type="h" for="ch" forName="childNode" val="NaN" fact="0.5" max="NaN"/>
        </dgm:ruleLst>
        <dgm:layoutNode name="image" styleLbl="fgImgPlace1">
          <dgm:alg type="sp"/>
          <dgm:shape xmlns:r="http://schemas.openxmlformats.org/officeDocument/2006/relationships" type="rect" r:blip="" zOrderOff="4" blipPhldr="1">
            <dgm:adjLst/>
          </dgm:shape>
          <dgm:presOf/>
          <dgm:constrLst/>
          <dgm:ruleLst/>
        </dgm:layoutNode>
        <dgm:layoutNode name="childNode" styleLbl="node1">
          <dgm:varLst>
            <dgm:bulletEnabled val="1"/>
          </dgm:varLst>
          <dgm:alg type="tx">
            <dgm:param type="stBulletLvl" val="1"/>
          </dgm:alg>
          <dgm:shape xmlns:r="http://schemas.openxmlformats.org/officeDocument/2006/relationships" type="rect" r:blip="" zOrderOff="2">
            <dgm:adjLst/>
          </dgm:shape>
          <dgm:presOf axis="des" ptType="node"/>
          <dgm:constrLst/>
          <dgm:ruleLst>
            <dgm:rule type="primFontSz" val="5" fact="NaN" max="NaN"/>
          </dgm:ruleLst>
        </dgm:layoutNode>
        <dgm:layoutNode name="parentNode" styleLbl="revTx">
          <dgm:varLst>
            <dgm:chMax val="0"/>
            <dgm:bulletEnabled val="1"/>
          </dgm:varLst>
          <dgm:choose name="Name7">
            <dgm:if name="Name8" func="var" arg="dir" op="equ" val="norm">
              <dgm:alg type="tx">
                <dgm:param type="autoTxRot" val="grav"/>
                <dgm:param type="txAnchorVert" val="t"/>
                <dgm:param type="parTxLTRAlign" val="r"/>
                <dgm:param type="parTxRTLAlign" val="r"/>
              </dgm:alg>
              <dgm:shape xmlns:r="http://schemas.openxmlformats.org/officeDocument/2006/relationships" rot="270" type="rect" r:blip="">
                <dgm:adjLst/>
              </dgm:shape>
              <dgm:presOf axis="self"/>
              <dgm:constrLst>
                <dgm:constr type="lMarg"/>
                <dgm:constr type="bMarg"/>
                <dgm:constr type="tMarg"/>
              </dgm:constrLst>
            </dgm:if>
            <dgm:else name="Name9">
              <dgm:alg type="tx">
                <dgm:param type="autoTxRot" val="grav"/>
                <dgm:param type="parTxLTRAlign" val="l"/>
                <dgm:param type="parTxRTLAlign" val="l"/>
              </dgm:alg>
              <dgm:shape xmlns:r="http://schemas.openxmlformats.org/officeDocument/2006/relationships" rot="90" type="rect" r:blip="">
                <dgm:adjLst/>
              </dgm:shape>
              <dgm:presOf axis="self"/>
              <dgm:constrLst>
                <dgm:constr type="rMarg"/>
                <dgm:constr type="bMarg"/>
                <dgm:constr type="tMarg"/>
              </dgm:constrLst>
            </dgm:else>
          </dgm:choose>
          <dgm:ruleLst>
            <dgm:rule type="primFontSz" val="5" fact="NaN" max="NaN"/>
          </dgm:ruleLst>
        </dgm:layoutNode>
      </dgm:layoutNode>
      <dgm:forEach name="Name10" axis="followSib" ptType="sibTrans" cnt="1">
        <dgm:layoutNode name="sibTrans">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5" Type="http://schemas.microsoft.com/office/2007/relationships/diagramDrawing" Target="../diagrams/drawing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xdr:from>
      <xdr:col>14</xdr:col>
      <xdr:colOff>660400</xdr:colOff>
      <xdr:row>3</xdr:row>
      <xdr:rowOff>25400</xdr:rowOff>
    </xdr:from>
    <xdr:to>
      <xdr:col>14</xdr:col>
      <xdr:colOff>787400</xdr:colOff>
      <xdr:row>4</xdr:row>
      <xdr:rowOff>38100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74" zoomScale="125" workbookViewId="0">
      <selection activeCell="F106" sqref="F105:F106"/>
    </sheetView>
  </sheetViews>
  <sheetFormatPr baseColWidth="10" defaultRowHeight="15" x14ac:dyDescent="0"/>
  <cols>
    <col min="1" max="16384" width="10.83203125" style="1"/>
  </cols>
  <sheetData>
    <row r="1" spans="1:9" ht="17">
      <c r="A1" s="335" t="s">
        <v>228</v>
      </c>
      <c r="B1" s="34" t="s">
        <v>188</v>
      </c>
    </row>
    <row r="2" spans="1:9">
      <c r="A2" s="335" t="s">
        <v>145</v>
      </c>
      <c r="B2" s="288" t="s">
        <v>74</v>
      </c>
    </row>
    <row r="3" spans="1:9">
      <c r="A3" s="336">
        <v>40640</v>
      </c>
    </row>
    <row r="4" spans="1:9">
      <c r="A4" s="335" t="s">
        <v>593</v>
      </c>
      <c r="B4" s="50" t="s">
        <v>600</v>
      </c>
    </row>
    <row r="5" spans="1:9">
      <c r="A5" s="335" t="s">
        <v>594</v>
      </c>
      <c r="B5" s="50" t="s">
        <v>675</v>
      </c>
    </row>
    <row r="6" spans="1:9">
      <c r="B6" s="50" t="s">
        <v>676</v>
      </c>
    </row>
    <row r="7" spans="1:9">
      <c r="B7" s="50" t="s">
        <v>596</v>
      </c>
      <c r="I7" s="239" t="s">
        <v>642</v>
      </c>
    </row>
    <row r="8" spans="1:9">
      <c r="B8" s="50" t="s">
        <v>528</v>
      </c>
      <c r="I8" s="1" t="s">
        <v>323</v>
      </c>
    </row>
    <row r="9" spans="1:9">
      <c r="B9" s="50" t="s">
        <v>606</v>
      </c>
    </row>
    <row r="10" spans="1:9">
      <c r="B10" s="50" t="s">
        <v>409</v>
      </c>
    </row>
    <row r="11" spans="1:9">
      <c r="B11" s="50" t="s">
        <v>627</v>
      </c>
    </row>
    <row r="12" spans="1:9">
      <c r="A12" s="50" t="s">
        <v>85</v>
      </c>
    </row>
    <row r="14" spans="1:9">
      <c r="A14" s="3" t="s">
        <v>597</v>
      </c>
    </row>
    <row r="15" spans="1:9">
      <c r="B15" s="1" t="s">
        <v>274</v>
      </c>
    </row>
    <row r="16" spans="1:9">
      <c r="B16" s="1" t="s">
        <v>123</v>
      </c>
    </row>
    <row r="17" spans="1:2">
      <c r="B17" s="1" t="s">
        <v>431</v>
      </c>
    </row>
    <row r="18" spans="1:2">
      <c r="A18" s="3" t="s">
        <v>78</v>
      </c>
      <c r="B18" s="3"/>
    </row>
    <row r="19" spans="1:2">
      <c r="A19" s="3"/>
      <c r="B19" s="244" t="s">
        <v>285</v>
      </c>
    </row>
    <row r="21" spans="1:2">
      <c r="A21" s="3" t="s">
        <v>73</v>
      </c>
    </row>
    <row r="22" spans="1:2">
      <c r="A22" s="1" t="s">
        <v>506</v>
      </c>
    </row>
    <row r="23" spans="1:2">
      <c r="A23" s="1" t="s">
        <v>446</v>
      </c>
    </row>
    <row r="24" spans="1:2">
      <c r="A24" s="1" t="s">
        <v>486</v>
      </c>
    </row>
    <row r="25" spans="1:2">
      <c r="B25" s="1" t="s">
        <v>369</v>
      </c>
    </row>
    <row r="27" spans="1:2">
      <c r="A27" s="3" t="s">
        <v>199</v>
      </c>
    </row>
    <row r="28" spans="1:2">
      <c r="B28" s="1" t="s">
        <v>677</v>
      </c>
    </row>
    <row r="29" spans="1:2">
      <c r="B29" s="1" t="s">
        <v>456</v>
      </c>
    </row>
    <row r="30" spans="1:2">
      <c r="A30" s="1" t="s">
        <v>640</v>
      </c>
    </row>
    <row r="31" spans="1:2">
      <c r="B31" s="1" t="s">
        <v>598</v>
      </c>
    </row>
    <row r="32" spans="1:2">
      <c r="A32" s="1" t="s">
        <v>649</v>
      </c>
    </row>
    <row r="33" spans="1:4">
      <c r="B33" s="1" t="s">
        <v>313</v>
      </c>
    </row>
    <row r="34" spans="1:4">
      <c r="A34" s="1" t="s">
        <v>650</v>
      </c>
    </row>
    <row r="35" spans="1:4">
      <c r="A35" s="1" t="s">
        <v>651</v>
      </c>
    </row>
    <row r="36" spans="1:4">
      <c r="A36" s="1" t="s">
        <v>141</v>
      </c>
    </row>
    <row r="37" spans="1:4">
      <c r="B37" s="1" t="s">
        <v>189</v>
      </c>
    </row>
    <row r="39" spans="1:4">
      <c r="A39" s="3" t="s">
        <v>176</v>
      </c>
    </row>
    <row r="40" spans="1:4">
      <c r="A40" s="1" t="s">
        <v>548</v>
      </c>
    </row>
    <row r="41" spans="1:4">
      <c r="A41" s="21" t="s">
        <v>30</v>
      </c>
      <c r="B41" s="2"/>
      <c r="C41" s="20"/>
    </row>
    <row r="42" spans="1:4">
      <c r="A42" s="21" t="s">
        <v>18</v>
      </c>
      <c r="B42" s="37"/>
      <c r="C42" s="38"/>
    </row>
    <row r="43" spans="1:4">
      <c r="A43" s="20"/>
      <c r="C43" s="33" t="s">
        <v>167</v>
      </c>
      <c r="D43" s="33" t="s">
        <v>109</v>
      </c>
    </row>
    <row r="44" spans="1:4">
      <c r="B44" s="32" t="s">
        <v>603</v>
      </c>
      <c r="C44" s="19">
        <v>40.1</v>
      </c>
      <c r="D44" s="22">
        <v>41.4</v>
      </c>
    </row>
    <row r="45" spans="1:4">
      <c r="B45" s="32" t="s">
        <v>601</v>
      </c>
      <c r="C45" s="19">
        <v>47.1</v>
      </c>
      <c r="D45" s="19">
        <v>47.5</v>
      </c>
    </row>
    <row r="46" spans="1:4">
      <c r="B46" s="32" t="s">
        <v>602</v>
      </c>
      <c r="C46" s="19">
        <v>52.3</v>
      </c>
      <c r="D46" s="19">
        <v>52.7</v>
      </c>
    </row>
    <row r="48" spans="1:4">
      <c r="A48" s="3" t="s">
        <v>142</v>
      </c>
    </row>
    <row r="49" spans="1:10">
      <c r="B49" s="1" t="s">
        <v>31</v>
      </c>
    </row>
    <row r="50" spans="1:10">
      <c r="B50" s="1" t="s">
        <v>224</v>
      </c>
    </row>
    <row r="51" spans="1:10">
      <c r="B51" s="1" t="s">
        <v>225</v>
      </c>
    </row>
    <row r="52" spans="1:10">
      <c r="B52" s="1" t="s">
        <v>139</v>
      </c>
    </row>
    <row r="54" spans="1:10">
      <c r="A54" s="3" t="s">
        <v>218</v>
      </c>
    </row>
    <row r="55" spans="1:10">
      <c r="A55" s="1" t="s">
        <v>239</v>
      </c>
    </row>
    <row r="56" spans="1:10">
      <c r="A56" s="1" t="s">
        <v>631</v>
      </c>
    </row>
    <row r="58" spans="1:10">
      <c r="D58" s="1" t="s">
        <v>277</v>
      </c>
    </row>
    <row r="59" spans="1:10">
      <c r="F59" s="1" t="s">
        <v>494</v>
      </c>
      <c r="H59" s="1" t="s">
        <v>494</v>
      </c>
      <c r="J59" s="8" t="s">
        <v>419</v>
      </c>
    </row>
    <row r="60" spans="1:10">
      <c r="D60" s="8" t="s">
        <v>420</v>
      </c>
      <c r="F60" s="1" t="s">
        <v>426</v>
      </c>
      <c r="H60" s="1" t="s">
        <v>258</v>
      </c>
      <c r="J60" s="8" t="s">
        <v>513</v>
      </c>
    </row>
    <row r="61" spans="1:10">
      <c r="C61" s="9" t="s">
        <v>561</v>
      </c>
      <c r="D61" s="9" t="s">
        <v>183</v>
      </c>
      <c r="E61" s="3"/>
      <c r="F61" s="3" t="s">
        <v>32</v>
      </c>
      <c r="G61" s="3"/>
      <c r="H61" s="3" t="s">
        <v>560</v>
      </c>
      <c r="I61" s="3"/>
      <c r="J61" s="9" t="s">
        <v>162</v>
      </c>
    </row>
    <row r="62" spans="1:10">
      <c r="C62" s="8" t="s">
        <v>175</v>
      </c>
      <c r="D62" s="7">
        <v>83.183852482928984</v>
      </c>
      <c r="E62" s="7"/>
      <c r="F62" s="7">
        <v>74.682598954443606</v>
      </c>
      <c r="G62" s="7"/>
      <c r="H62" s="7">
        <v>126.75130694548169</v>
      </c>
      <c r="J62" s="6">
        <v>3.3800771023151599</v>
      </c>
    </row>
    <row r="63" spans="1:10">
      <c r="C63" s="8" t="s">
        <v>422</v>
      </c>
      <c r="D63" s="7">
        <v>61.714970342775892</v>
      </c>
      <c r="E63" s="7"/>
      <c r="F63" s="7">
        <v>55.407801418439718</v>
      </c>
      <c r="G63" s="7"/>
      <c r="H63" s="7">
        <v>94.038120567375913</v>
      </c>
      <c r="J63" s="6">
        <v>2.5077145611702134</v>
      </c>
    </row>
    <row r="64" spans="1:10">
      <c r="C64" s="8" t="s">
        <v>421</v>
      </c>
      <c r="D64" s="7">
        <v>65.7127896605557</v>
      </c>
      <c r="E64" s="7"/>
      <c r="F64" s="7">
        <v>58.997050147492622</v>
      </c>
      <c r="G64" s="7"/>
      <c r="H64" s="7">
        <v>100.12979351032448</v>
      </c>
      <c r="J64" s="6">
        <v>2.6701612035398226</v>
      </c>
    </row>
    <row r="65" spans="1:10">
      <c r="C65" s="8" t="s">
        <v>160</v>
      </c>
      <c r="D65" s="7">
        <v>65.627609282725615</v>
      </c>
      <c r="E65" s="7"/>
      <c r="F65" s="7">
        <v>58.920575064812631</v>
      </c>
      <c r="G65" s="7"/>
      <c r="H65" s="7">
        <v>100</v>
      </c>
      <c r="J65" s="6">
        <v>2.6667000000000001</v>
      </c>
    </row>
    <row r="66" spans="1:10">
      <c r="C66" s="8" t="s">
        <v>349</v>
      </c>
      <c r="D66" s="7">
        <v>66.636660768556339</v>
      </c>
      <c r="E66" s="7"/>
      <c r="F66" s="7">
        <v>59.826503140891411</v>
      </c>
      <c r="G66" s="7"/>
      <c r="H66" s="7">
        <v>101.53754113072091</v>
      </c>
      <c r="J66" s="6">
        <v>2.7077016093329349</v>
      </c>
    </row>
    <row r="67" spans="1:10">
      <c r="C67" s="8" t="s">
        <v>161</v>
      </c>
      <c r="D67" s="7">
        <v>84.973434905890983</v>
      </c>
      <c r="E67" s="7"/>
      <c r="F67" s="7">
        <v>76.289288983826665</v>
      </c>
      <c r="G67" s="7"/>
      <c r="H67" s="7">
        <v>129.47818126335062</v>
      </c>
      <c r="J67" s="6">
        <v>3.4527946597497707</v>
      </c>
    </row>
    <row r="68" spans="1:10">
      <c r="C68" s="8" t="s">
        <v>350</v>
      </c>
      <c r="D68" s="7">
        <v>63.647530556938236</v>
      </c>
      <c r="E68" s="7"/>
      <c r="F68" s="7">
        <v>57.142857142857146</v>
      </c>
      <c r="G68" s="7"/>
      <c r="H68" s="7">
        <v>96.982857142857142</v>
      </c>
      <c r="J68" s="6">
        <v>2.5862418514285714</v>
      </c>
    </row>
    <row r="69" spans="1:10">
      <c r="C69" s="8" t="s">
        <v>351</v>
      </c>
      <c r="D69" s="7">
        <v>15.334009536969894</v>
      </c>
      <c r="E69" s="7"/>
      <c r="F69" s="7">
        <v>13.766898868360913</v>
      </c>
      <c r="G69" s="7"/>
      <c r="H69" s="7">
        <v>23.365180759382145</v>
      </c>
      <c r="J69" s="6">
        <v>0.62307927531044371</v>
      </c>
    </row>
    <row r="70" spans="1:10" ht="16" thickBot="1"/>
    <row r="71" spans="1:10" ht="16" thickBot="1">
      <c r="C71" s="8" t="s">
        <v>562</v>
      </c>
      <c r="D71" s="11">
        <v>111.38317847464192</v>
      </c>
      <c r="J71" s="10">
        <v>4.4400000000000004</v>
      </c>
    </row>
    <row r="73" spans="1:10">
      <c r="A73" s="1" t="s">
        <v>567</v>
      </c>
    </row>
    <row r="74" spans="1:10">
      <c r="A74" s="1" t="s">
        <v>343</v>
      </c>
    </row>
    <row r="75" spans="1:10">
      <c r="A75" s="1" t="s">
        <v>281</v>
      </c>
    </row>
    <row r="76" spans="1:10">
      <c r="A76" s="1" t="s">
        <v>267</v>
      </c>
    </row>
    <row r="78" spans="1:10">
      <c r="A78" s="1" t="s">
        <v>245</v>
      </c>
    </row>
    <row r="79" spans="1:10">
      <c r="A79" s="1" t="s">
        <v>669</v>
      </c>
    </row>
    <row r="80" spans="1:10">
      <c r="A80" s="1" t="s">
        <v>278</v>
      </c>
    </row>
    <row r="82" spans="1:1">
      <c r="A82" s="3" t="s">
        <v>271</v>
      </c>
    </row>
    <row r="83" spans="1:1">
      <c r="A83" s="1" t="s">
        <v>348</v>
      </c>
    </row>
    <row r="84" spans="1:1">
      <c r="A84" s="1" t="s">
        <v>563</v>
      </c>
    </row>
    <row r="85" spans="1:1">
      <c r="A85" s="1" t="s">
        <v>301</v>
      </c>
    </row>
    <row r="86" spans="1:1">
      <c r="A86" s="1" t="s">
        <v>500</v>
      </c>
    </row>
    <row r="87" spans="1:1">
      <c r="A87" s="1" t="s">
        <v>455</v>
      </c>
    </row>
    <row r="88" spans="1:1">
      <c r="A88" s="1" t="s">
        <v>465</v>
      </c>
    </row>
    <row r="89" spans="1:1">
      <c r="A89" s="1" t="s">
        <v>181</v>
      </c>
    </row>
    <row r="91" spans="1:1">
      <c r="A91" s="3" t="s">
        <v>272</v>
      </c>
    </row>
    <row r="92" spans="1:1">
      <c r="A92" s="1" t="s">
        <v>526</v>
      </c>
    </row>
    <row r="93" spans="1:1">
      <c r="A93" s="1" t="s">
        <v>413</v>
      </c>
    </row>
    <row r="94" spans="1:1">
      <c r="A94" s="1" t="s">
        <v>454</v>
      </c>
    </row>
    <row r="95" spans="1:1">
      <c r="A95" s="1" t="s">
        <v>662</v>
      </c>
    </row>
    <row r="96" spans="1:1">
      <c r="A96" s="1" t="s">
        <v>688</v>
      </c>
    </row>
    <row r="97" spans="1:2">
      <c r="A97" s="1" t="s">
        <v>689</v>
      </c>
    </row>
    <row r="98" spans="1:2">
      <c r="A98" s="1" t="s">
        <v>638</v>
      </c>
    </row>
    <row r="99" spans="1:2">
      <c r="A99" s="1" t="s">
        <v>639</v>
      </c>
    </row>
    <row r="100" spans="1:2">
      <c r="B100" s="1" t="s">
        <v>22</v>
      </c>
    </row>
    <row r="101" spans="1:2">
      <c r="A101" s="1" t="s">
        <v>23</v>
      </c>
    </row>
    <row r="102" spans="1:2">
      <c r="A102" s="1" t="s">
        <v>24</v>
      </c>
    </row>
  </sheetData>
  <phoneticPr fontId="20"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125" workbookViewId="0">
      <selection activeCell="D29" sqref="D29"/>
    </sheetView>
  </sheetViews>
  <sheetFormatPr baseColWidth="10" defaultRowHeight="15" x14ac:dyDescent="0"/>
  <cols>
    <col min="1" max="3" width="10.83203125" style="1"/>
    <col min="4" max="4" width="19.1640625" style="1" customWidth="1"/>
    <col min="5" max="5" width="10.83203125" style="1"/>
    <col min="6" max="6" width="12.83203125" style="1" customWidth="1"/>
    <col min="7" max="8" width="10.83203125" style="1"/>
    <col min="9" max="9" width="12.5" style="1" customWidth="1"/>
    <col min="10" max="11" width="10.83203125" style="1"/>
    <col min="12" max="12" width="16.33203125" style="1" customWidth="1"/>
    <col min="13" max="13" width="10.83203125" style="1"/>
    <col min="14" max="14" width="16" style="1" customWidth="1"/>
    <col min="15" max="16384" width="10.83203125" style="1"/>
  </cols>
  <sheetData>
    <row r="1" spans="1:8" ht="15" customHeight="1">
      <c r="C1" s="34" t="s">
        <v>655</v>
      </c>
    </row>
    <row r="2" spans="1:8" ht="15" customHeight="1">
      <c r="C2" s="1" t="s">
        <v>501</v>
      </c>
    </row>
    <row r="3" spans="1:8" ht="15" customHeight="1">
      <c r="C3" s="1" t="s">
        <v>628</v>
      </c>
    </row>
    <row r="4" spans="1:8" ht="15" customHeight="1">
      <c r="C4" s="1" t="s">
        <v>673</v>
      </c>
    </row>
    <row r="5" spans="1:8" ht="15" customHeight="1">
      <c r="C5" s="1" t="s">
        <v>406</v>
      </c>
    </row>
    <row r="6" spans="1:8" ht="15" customHeight="1"/>
    <row r="7" spans="1:8" ht="15" customHeight="1">
      <c r="B7" s="51"/>
    </row>
    <row r="8" spans="1:8" ht="15" customHeight="1">
      <c r="A8" s="43" t="s">
        <v>595</v>
      </c>
      <c r="B8" s="51"/>
    </row>
    <row r="9" spans="1:8" ht="15" customHeight="1">
      <c r="E9" s="8" t="s">
        <v>412</v>
      </c>
      <c r="F9" s="8" t="s">
        <v>545</v>
      </c>
      <c r="G9" s="8" t="s">
        <v>12</v>
      </c>
    </row>
    <row r="10" spans="1:8" ht="15" customHeight="1">
      <c r="B10" s="1" t="s">
        <v>84</v>
      </c>
      <c r="E10" s="8" t="s">
        <v>13</v>
      </c>
      <c r="F10" s="8" t="s">
        <v>14</v>
      </c>
      <c r="G10" s="8" t="s">
        <v>279</v>
      </c>
    </row>
    <row r="11" spans="1:8" ht="15" customHeight="1">
      <c r="B11" s="1" t="s">
        <v>361</v>
      </c>
      <c r="C11" s="1" t="s">
        <v>508</v>
      </c>
      <c r="E11" s="1">
        <v>26</v>
      </c>
      <c r="F11" s="1">
        <v>43</v>
      </c>
      <c r="G11" s="42">
        <v>1.6538461538461537</v>
      </c>
    </row>
    <row r="12" spans="1:8" ht="15" customHeight="1">
      <c r="B12" s="1" t="s">
        <v>512</v>
      </c>
      <c r="C12" s="1" t="s">
        <v>410</v>
      </c>
      <c r="E12" s="1">
        <v>242</v>
      </c>
      <c r="F12" s="1">
        <v>424</v>
      </c>
      <c r="G12" s="42">
        <v>1.7520661157024793</v>
      </c>
    </row>
    <row r="13" spans="1:8" ht="15" customHeight="1">
      <c r="B13" s="1" t="s">
        <v>174</v>
      </c>
      <c r="C13" s="1" t="s">
        <v>370</v>
      </c>
      <c r="E13" s="1">
        <v>180</v>
      </c>
      <c r="F13" s="1">
        <v>308</v>
      </c>
      <c r="G13" s="42">
        <v>1.711111111111111</v>
      </c>
    </row>
    <row r="14" spans="1:8" ht="15" customHeight="1">
      <c r="A14" s="51"/>
      <c r="B14" s="51" t="s">
        <v>163</v>
      </c>
      <c r="C14" s="51" t="s">
        <v>371</v>
      </c>
      <c r="D14" s="51"/>
      <c r="E14" s="1">
        <v>73</v>
      </c>
      <c r="F14" s="1">
        <v>102</v>
      </c>
      <c r="G14" s="42">
        <v>1.3972602739726028</v>
      </c>
    </row>
    <row r="15" spans="1:8" ht="15" customHeight="1">
      <c r="A15" s="51"/>
      <c r="B15" s="51" t="s">
        <v>324</v>
      </c>
      <c r="C15" s="51" t="s">
        <v>159</v>
      </c>
      <c r="D15" s="51"/>
      <c r="E15" s="1">
        <v>5</v>
      </c>
      <c r="F15" s="1">
        <v>11</v>
      </c>
      <c r="G15" s="42">
        <v>2.2000000000000002</v>
      </c>
      <c r="H15" s="1" t="s">
        <v>516</v>
      </c>
    </row>
    <row r="16" spans="1:8" ht="15" customHeight="1">
      <c r="B16" s="1" t="s">
        <v>491</v>
      </c>
      <c r="C16" s="1" t="s">
        <v>546</v>
      </c>
      <c r="E16" s="1">
        <v>46</v>
      </c>
      <c r="F16" s="1">
        <v>76</v>
      </c>
      <c r="G16" s="42">
        <v>1.6521739130434783</v>
      </c>
    </row>
    <row r="17" spans="1:15" ht="15" customHeight="1">
      <c r="B17" s="1" t="s">
        <v>148</v>
      </c>
      <c r="C17" s="1" t="s">
        <v>683</v>
      </c>
      <c r="E17" s="1">
        <v>3</v>
      </c>
      <c r="F17" s="1">
        <v>3</v>
      </c>
      <c r="G17" s="42">
        <v>1</v>
      </c>
      <c r="H17" s="1" t="s">
        <v>11</v>
      </c>
    </row>
    <row r="18" spans="1:15" ht="15" customHeight="1">
      <c r="D18" s="8" t="s">
        <v>35</v>
      </c>
      <c r="E18" s="1">
        <f>SUM(E11:E17)</f>
        <v>575</v>
      </c>
      <c r="F18" s="1">
        <f>SUM(F11:F17)</f>
        <v>967</v>
      </c>
      <c r="G18" s="42">
        <f>F18/E18</f>
        <v>1.6817391304347826</v>
      </c>
    </row>
    <row r="19" spans="1:15" ht="15" customHeight="1">
      <c r="D19" s="8"/>
      <c r="G19" s="42"/>
    </row>
    <row r="20" spans="1:15" ht="15" customHeight="1">
      <c r="A20" s="43" t="s">
        <v>541</v>
      </c>
      <c r="D20" s="8"/>
      <c r="G20" s="42"/>
    </row>
    <row r="21" spans="1:15" ht="15" customHeight="1">
      <c r="A21" s="1" t="s">
        <v>471</v>
      </c>
      <c r="B21" s="51"/>
    </row>
    <row r="22" spans="1:15" ht="15" customHeight="1">
      <c r="B22" s="51" t="s">
        <v>236</v>
      </c>
    </row>
    <row r="23" spans="1:15" ht="15" customHeight="1">
      <c r="B23" s="51"/>
    </row>
    <row r="24" spans="1:15" ht="15" customHeight="1">
      <c r="B24" s="51"/>
      <c r="L24" s="95" t="s">
        <v>484</v>
      </c>
      <c r="M24" s="8"/>
      <c r="N24" s="1" t="s">
        <v>315</v>
      </c>
    </row>
    <row r="25" spans="1:15" ht="15" customHeight="1">
      <c r="B25" s="51"/>
      <c r="E25" s="1" t="s">
        <v>214</v>
      </c>
      <c r="H25" s="1" t="s">
        <v>280</v>
      </c>
      <c r="L25" s="1" t="s">
        <v>485</v>
      </c>
      <c r="M25" s="1" t="s">
        <v>316</v>
      </c>
      <c r="N25" s="1" t="s">
        <v>485</v>
      </c>
      <c r="O25" s="1" t="s">
        <v>316</v>
      </c>
    </row>
    <row r="26" spans="1:15" ht="15" customHeight="1">
      <c r="E26" s="8" t="s">
        <v>475</v>
      </c>
      <c r="F26" s="8" t="s">
        <v>302</v>
      </c>
      <c r="G26" s="8" t="s">
        <v>303</v>
      </c>
      <c r="H26" s="1" t="s">
        <v>112</v>
      </c>
      <c r="I26" s="1" t="s">
        <v>113</v>
      </c>
      <c r="J26" s="1" t="s">
        <v>126</v>
      </c>
      <c r="K26" s="1" t="s">
        <v>127</v>
      </c>
      <c r="L26" s="8" t="s">
        <v>482</v>
      </c>
      <c r="M26" s="8" t="s">
        <v>407</v>
      </c>
      <c r="N26" s="8" t="s">
        <v>482</v>
      </c>
      <c r="O26" s="8" t="s">
        <v>407</v>
      </c>
    </row>
    <row r="27" spans="1:15" ht="15" customHeight="1">
      <c r="A27" s="51" t="s">
        <v>90</v>
      </c>
      <c r="E27" s="49">
        <v>3008</v>
      </c>
      <c r="F27" s="49">
        <f>0.05*3269</f>
        <v>163.45000000000002</v>
      </c>
      <c r="G27" s="49">
        <v>3171.45</v>
      </c>
      <c r="H27" s="49"/>
      <c r="I27" s="49">
        <f>0.95*3269</f>
        <v>3105.5499999999997</v>
      </c>
      <c r="J27" s="49">
        <v>1841</v>
      </c>
      <c r="K27" s="49">
        <v>1189</v>
      </c>
      <c r="L27" s="49">
        <f>SUM(G27:K27)</f>
        <v>9307</v>
      </c>
      <c r="M27" s="85">
        <f>L27-I27</f>
        <v>6201.4500000000007</v>
      </c>
      <c r="N27" s="42">
        <f>L27/G27</f>
        <v>2.9346198111274027</v>
      </c>
      <c r="O27" s="103">
        <f>M27/G27</f>
        <v>1.955398950007095</v>
      </c>
    </row>
    <row r="28" spans="1:15" ht="15" customHeight="1">
      <c r="A28" s="51" t="s">
        <v>114</v>
      </c>
      <c r="E28" s="49">
        <v>994</v>
      </c>
      <c r="F28" s="49"/>
      <c r="G28" s="49">
        <v>994</v>
      </c>
      <c r="H28" s="49"/>
      <c r="I28" s="49"/>
      <c r="J28" s="49"/>
      <c r="K28" s="49"/>
      <c r="L28" s="49">
        <f>G28</f>
        <v>994</v>
      </c>
      <c r="M28" s="85">
        <f>L28-I28</f>
        <v>994</v>
      </c>
      <c r="N28" s="42">
        <f>L28/G28</f>
        <v>1</v>
      </c>
      <c r="O28" s="103">
        <f>M28/G28</f>
        <v>1</v>
      </c>
    </row>
    <row r="29" spans="1:15" ht="15" customHeight="1">
      <c r="A29" s="51" t="s">
        <v>344</v>
      </c>
      <c r="E29" s="49"/>
      <c r="F29" s="49">
        <v>732</v>
      </c>
      <c r="G29" s="49">
        <v>732</v>
      </c>
      <c r="H29" s="49"/>
      <c r="I29" s="49"/>
      <c r="J29" s="49"/>
      <c r="K29" s="49"/>
      <c r="L29" s="49">
        <f>G29</f>
        <v>732</v>
      </c>
      <c r="M29" s="85">
        <f>L29-I29</f>
        <v>732</v>
      </c>
      <c r="N29" s="42">
        <f>L29/G29</f>
        <v>1</v>
      </c>
      <c r="O29" s="103">
        <f>M29/G29</f>
        <v>1</v>
      </c>
    </row>
    <row r="30" spans="1:15" ht="15" customHeight="1">
      <c r="A30" s="51" t="s">
        <v>259</v>
      </c>
      <c r="E30" s="49">
        <v>802</v>
      </c>
      <c r="F30" s="49"/>
      <c r="G30" s="49">
        <v>802</v>
      </c>
      <c r="H30" s="49"/>
      <c r="I30" s="49">
        <v>802</v>
      </c>
      <c r="J30" s="49">
        <v>452</v>
      </c>
      <c r="K30" s="49">
        <v>293</v>
      </c>
      <c r="L30" s="49">
        <f>SUM(G30:K30)</f>
        <v>2349</v>
      </c>
      <c r="M30" s="85">
        <f>L30-I30</f>
        <v>1547</v>
      </c>
      <c r="N30" s="42">
        <f>L30/G30</f>
        <v>2.9289276807980049</v>
      </c>
      <c r="O30" s="103">
        <f>M30/G30</f>
        <v>1.9289276807980049</v>
      </c>
    </row>
    <row r="31" spans="1:15" ht="15" customHeight="1">
      <c r="B31" s="51"/>
      <c r="D31" s="8" t="s">
        <v>242</v>
      </c>
      <c r="E31" s="49">
        <f>SUM(E27:E30)</f>
        <v>4804</v>
      </c>
      <c r="F31" s="49">
        <f t="shared" ref="F31:L31" si="0">SUM(F27:F30)</f>
        <v>895.45</v>
      </c>
      <c r="G31" s="49">
        <f t="shared" si="0"/>
        <v>5699.45</v>
      </c>
      <c r="H31" s="49">
        <f t="shared" si="0"/>
        <v>0</v>
      </c>
      <c r="I31" s="49">
        <f t="shared" si="0"/>
        <v>3907.5499999999997</v>
      </c>
      <c r="J31" s="49">
        <f t="shared" si="0"/>
        <v>2293</v>
      </c>
      <c r="K31" s="49">
        <f t="shared" si="0"/>
        <v>1482</v>
      </c>
      <c r="L31" s="49">
        <f t="shared" si="0"/>
        <v>13382</v>
      </c>
      <c r="M31" s="85">
        <f>L31-I31</f>
        <v>9474.4500000000007</v>
      </c>
      <c r="N31" s="56">
        <f>L31/G31</f>
        <v>2.3479458544245499</v>
      </c>
      <c r="O31" s="104">
        <f>M31/G31</f>
        <v>1.662344612199423</v>
      </c>
    </row>
    <row r="32" spans="1:15" ht="15" customHeight="1">
      <c r="B32" s="51"/>
      <c r="D32" s="8"/>
      <c r="E32" s="49"/>
      <c r="F32" s="49"/>
      <c r="G32" s="49"/>
      <c r="H32" s="49"/>
      <c r="I32" s="49"/>
      <c r="J32" s="49"/>
      <c r="K32" s="49"/>
      <c r="L32" s="49"/>
      <c r="M32" s="85"/>
      <c r="N32" s="42"/>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phoneticPr fontId="20"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6"/>
  <sheetViews>
    <sheetView topLeftCell="A8" workbookViewId="0">
      <pane xSplit="13680" ySplit="6300" topLeftCell="BU46"/>
      <selection activeCell="BO42" sqref="BO42"/>
      <selection pane="topRight" activeCell="AV18" sqref="AV18"/>
      <selection pane="bottomLeft" activeCell="A46" sqref="A46"/>
      <selection pane="bottomRight" activeCell="X42" sqref="X42"/>
    </sheetView>
  </sheetViews>
  <sheetFormatPr baseColWidth="10" defaultRowHeight="15" x14ac:dyDescent="0"/>
  <cols>
    <col min="1" max="1" width="7.1640625" style="1" customWidth="1"/>
    <col min="2" max="5" width="10.83203125" style="1"/>
    <col min="6" max="6" width="12.83203125" style="1" customWidth="1"/>
    <col min="7" max="9" width="10.83203125" style="60"/>
    <col min="10" max="10" width="9.83203125" style="1" customWidth="1"/>
    <col min="11" max="11" width="3.83203125" style="1" customWidth="1"/>
    <col min="12" max="12" width="13.6640625" style="62" customWidth="1"/>
    <col min="13" max="13" width="14.1640625" style="62" customWidth="1"/>
    <col min="14" max="14" width="13.1640625" style="62" customWidth="1"/>
    <col min="15" max="15" width="4.83203125" style="1" customWidth="1"/>
    <col min="16" max="18" width="12.83203125" style="1" customWidth="1"/>
    <col min="19" max="19" width="11.33203125" style="1" customWidth="1"/>
    <col min="20" max="20" width="6.6640625" style="1" customWidth="1"/>
    <col min="21" max="21" width="12" style="1" customWidth="1"/>
    <col min="22" max="22" width="19.83203125" style="1" customWidth="1"/>
    <col min="23" max="26" width="12.83203125" style="184" customWidth="1"/>
    <col min="27" max="27" width="4.83203125" style="1" customWidth="1"/>
    <col min="28" max="29" width="12.1640625" style="67" customWidth="1"/>
    <col min="30" max="30" width="12.6640625" style="67" customWidth="1"/>
    <col min="31" max="31" width="10.83203125" style="1"/>
    <col min="32" max="32" width="6.6640625" style="51" customWidth="1"/>
    <col min="33" max="34" width="15.1640625" style="1" customWidth="1"/>
    <col min="35" max="35" width="13.6640625" style="1" customWidth="1"/>
    <col min="36" max="36" width="4.83203125" style="1" customWidth="1"/>
    <col min="37" max="38" width="12.5" style="1" customWidth="1"/>
    <col min="39" max="40" width="12.33203125" style="1" customWidth="1"/>
    <col min="41" max="41" width="8" style="1" customWidth="1"/>
    <col min="42" max="42" width="17.5" style="228" customWidth="1"/>
    <col min="43" max="43" width="13.1640625" style="228" customWidth="1"/>
    <col min="44" max="44" width="11.33203125" style="228" customWidth="1"/>
    <col min="45" max="45" width="11.33203125" style="240" customWidth="1"/>
    <col min="46" max="46" width="4.83203125" style="240" customWidth="1"/>
    <col min="47" max="47" width="10.5" style="78" customWidth="1"/>
    <col min="48" max="48" width="13.83203125" style="78" customWidth="1"/>
    <col min="49" max="49" width="11.5" style="78" customWidth="1"/>
    <col min="50" max="50" width="8.5" style="1" customWidth="1"/>
    <col min="51" max="51" width="13.1640625" style="110" customWidth="1"/>
    <col min="52" max="52" width="15.1640625" style="110" customWidth="1"/>
    <col min="53" max="53" width="11.83203125" style="110" customWidth="1"/>
    <col min="54" max="54" width="16" style="1" customWidth="1"/>
    <col min="55" max="55" width="5" style="1" customWidth="1"/>
    <col min="56" max="58" width="12.83203125" style="96" customWidth="1"/>
    <col min="59" max="59" width="11.83203125" style="118" customWidth="1"/>
    <col min="60" max="60" width="4.83203125" style="1" customWidth="1"/>
    <col min="61" max="61" width="9.33203125" style="347" customWidth="1"/>
    <col min="62" max="64" width="9.33203125" style="1" customWidth="1"/>
    <col min="65" max="65" width="4.83203125" style="1" customWidth="1"/>
    <col min="66" max="69" width="15.1640625" style="1" customWidth="1"/>
    <col min="70" max="70" width="4.83203125" style="51" customWidth="1"/>
    <col min="71" max="74" width="15.33203125" style="1" customWidth="1"/>
    <col min="75" max="75" width="6.83203125" style="1" customWidth="1"/>
    <col min="76" max="79" width="11" style="1" customWidth="1"/>
    <col min="80" max="80" width="4.83203125" style="1" customWidth="1"/>
    <col min="81" max="84" width="12.83203125" style="1" customWidth="1"/>
    <col min="85" max="16384" width="10.83203125" style="1"/>
  </cols>
  <sheetData>
    <row r="1" spans="1:84" ht="18">
      <c r="B1" s="133" t="s">
        <v>505</v>
      </c>
    </row>
    <row r="2" spans="1:84" ht="18">
      <c r="B2" s="133" t="s">
        <v>447</v>
      </c>
      <c r="BN2" s="50" t="s">
        <v>308</v>
      </c>
    </row>
    <row r="3" spans="1:84">
      <c r="B3" s="1" t="s">
        <v>487</v>
      </c>
      <c r="W3" s="324" t="s">
        <v>305</v>
      </c>
      <c r="X3" s="324"/>
      <c r="Y3" s="324"/>
      <c r="Z3" s="324"/>
      <c r="BN3" s="324">
        <f>BN20+BN34</f>
        <v>100102.84681366663</v>
      </c>
      <c r="BO3" s="324">
        <f>BO20+BO34</f>
        <v>44848.421338890679</v>
      </c>
      <c r="BP3" s="324">
        <f>BP20+BP34</f>
        <v>146600.01607406538</v>
      </c>
      <c r="BQ3" s="324">
        <f>BQ20+BQ34</f>
        <v>291551.28422662267</v>
      </c>
    </row>
    <row r="4" spans="1:84">
      <c r="B4" s="1" t="s">
        <v>202</v>
      </c>
      <c r="L4" s="328"/>
      <c r="M4" s="328"/>
      <c r="N4" s="328"/>
      <c r="W4" s="324">
        <f>W20+W34</f>
        <v>93273.477444976161</v>
      </c>
      <c r="X4" s="324">
        <f>X20+X34</f>
        <v>41619.39691112248</v>
      </c>
      <c r="Y4" s="324">
        <f>Y20+Y34</f>
        <v>128626.97929714639</v>
      </c>
      <c r="Z4" s="324">
        <f>Z20+Z34</f>
        <v>263519.85365324508</v>
      </c>
      <c r="BN4" s="1" t="s">
        <v>226</v>
      </c>
    </row>
    <row r="5" spans="1:84">
      <c r="B5" s="132"/>
      <c r="C5" s="1" t="s">
        <v>330</v>
      </c>
      <c r="L5" s="328"/>
      <c r="M5" s="328"/>
      <c r="N5" s="328"/>
      <c r="AO5" s="8"/>
      <c r="BN5" s="1" t="s">
        <v>394</v>
      </c>
    </row>
    <row r="6" spans="1:84">
      <c r="B6" s="75"/>
      <c r="C6" s="1" t="s">
        <v>395</v>
      </c>
      <c r="H6" s="44" t="s">
        <v>28</v>
      </c>
      <c r="AO6" s="91"/>
      <c r="BN6" s="1" t="s">
        <v>44</v>
      </c>
    </row>
    <row r="7" spans="1:84">
      <c r="B7" s="76"/>
      <c r="C7" s="1" t="s">
        <v>27</v>
      </c>
      <c r="H7" s="44" t="s">
        <v>28</v>
      </c>
      <c r="AO7" s="8"/>
      <c r="AY7" s="174" t="s">
        <v>172</v>
      </c>
      <c r="BN7" s="1" t="s">
        <v>45</v>
      </c>
    </row>
    <row r="8" spans="1:84">
      <c r="B8" s="77"/>
      <c r="C8" s="1" t="s">
        <v>339</v>
      </c>
      <c r="H8" s="44" t="s">
        <v>28</v>
      </c>
      <c r="W8" s="239" t="s">
        <v>325</v>
      </c>
      <c r="AG8" s="1" t="s">
        <v>177</v>
      </c>
      <c r="AO8" s="8"/>
      <c r="AY8" s="174" t="s">
        <v>434</v>
      </c>
    </row>
    <row r="9" spans="1:84">
      <c r="G9" s="239" t="s">
        <v>642</v>
      </c>
      <c r="H9" s="178"/>
      <c r="I9" s="239"/>
      <c r="L9" s="219"/>
      <c r="M9" s="219"/>
      <c r="N9" s="219"/>
      <c r="W9" s="239" t="s">
        <v>504</v>
      </c>
      <c r="AB9" s="67" t="s">
        <v>411</v>
      </c>
      <c r="AG9" s="1" t="s">
        <v>439</v>
      </c>
      <c r="AO9" s="8"/>
      <c r="AP9" s="240" t="s">
        <v>441</v>
      </c>
      <c r="AQ9" s="239"/>
      <c r="AR9" s="239"/>
      <c r="AU9" s="219"/>
      <c r="AV9" s="219"/>
      <c r="AW9" s="219"/>
      <c r="AY9" s="219"/>
      <c r="AZ9" s="219"/>
      <c r="BA9" s="219"/>
      <c r="BD9" s="239"/>
      <c r="BE9" s="239"/>
      <c r="BF9" s="239"/>
      <c r="BG9" s="221"/>
    </row>
    <row r="10" spans="1:84" ht="16" thickBot="1">
      <c r="G10" s="106" t="s">
        <v>283</v>
      </c>
      <c r="H10" s="71"/>
      <c r="I10" s="71"/>
      <c r="J10" s="72"/>
      <c r="K10" s="72"/>
      <c r="L10" s="73"/>
      <c r="M10" s="73"/>
      <c r="N10" s="73"/>
      <c r="O10" s="72"/>
      <c r="P10" s="72"/>
      <c r="Q10" s="72"/>
      <c r="R10" s="72"/>
      <c r="S10" s="72"/>
      <c r="W10" s="185" t="s">
        <v>46</v>
      </c>
      <c r="X10" s="186"/>
      <c r="Y10" s="186"/>
      <c r="Z10" s="186"/>
      <c r="AB10" s="107" t="s">
        <v>164</v>
      </c>
      <c r="AC10" s="74"/>
      <c r="AD10" s="74"/>
      <c r="AE10" s="75"/>
      <c r="AG10" s="75"/>
      <c r="AH10" s="75"/>
      <c r="AI10" s="75"/>
      <c r="AJ10" s="75"/>
      <c r="AK10" s="75"/>
      <c r="AL10" s="75"/>
      <c r="AM10" s="75"/>
      <c r="AN10" s="75"/>
      <c r="AO10" s="8"/>
      <c r="AP10" s="229" t="s">
        <v>110</v>
      </c>
      <c r="AQ10" s="229"/>
      <c r="AR10" s="229"/>
      <c r="AS10" s="229"/>
      <c r="AT10" s="229"/>
      <c r="AU10" s="79"/>
      <c r="AV10" s="79"/>
      <c r="AW10" s="79"/>
      <c r="AX10" s="76"/>
      <c r="AY10" s="111"/>
      <c r="AZ10" s="111"/>
      <c r="BA10" s="111"/>
      <c r="BB10" s="76"/>
      <c r="BC10" s="76"/>
      <c r="BD10" s="97"/>
      <c r="BE10" s="97"/>
      <c r="BF10" s="97" t="s">
        <v>215</v>
      </c>
      <c r="BG10" s="119"/>
      <c r="BI10" s="347" t="s">
        <v>298</v>
      </c>
      <c r="BN10" s="84" t="s">
        <v>527</v>
      </c>
      <c r="BO10" s="77"/>
      <c r="BP10" s="77"/>
      <c r="BQ10" s="77"/>
      <c r="BS10" s="77"/>
      <c r="BT10" s="77"/>
      <c r="BU10" s="84" t="s">
        <v>352</v>
      </c>
      <c r="BV10" s="77"/>
      <c r="BW10" s="77"/>
      <c r="BX10" s="77"/>
      <c r="BY10" s="77"/>
      <c r="BZ10" s="77"/>
      <c r="CA10" s="84" t="s">
        <v>352</v>
      </c>
      <c r="CB10" s="77"/>
      <c r="CC10" s="77"/>
      <c r="CD10" s="77"/>
      <c r="CE10" s="77"/>
      <c r="CF10" s="77"/>
    </row>
    <row r="11" spans="1:84" ht="16" thickBot="1">
      <c r="A11" s="8"/>
      <c r="G11" s="98" t="s">
        <v>517</v>
      </c>
      <c r="H11" s="99"/>
      <c r="I11" s="99"/>
      <c r="J11" s="69"/>
      <c r="L11" s="63" t="s">
        <v>515</v>
      </c>
      <c r="M11" s="64"/>
      <c r="N11" s="65"/>
      <c r="P11" s="112" t="s">
        <v>168</v>
      </c>
      <c r="Q11" s="113"/>
      <c r="R11" s="58"/>
      <c r="S11" s="114"/>
      <c r="W11" s="187" t="s">
        <v>217</v>
      </c>
      <c r="X11" s="188"/>
      <c r="Y11" s="188"/>
      <c r="Z11" s="189"/>
      <c r="AB11" s="98" t="s">
        <v>396</v>
      </c>
      <c r="AC11" s="99"/>
      <c r="AD11" s="99"/>
      <c r="AE11" s="69"/>
      <c r="AG11" s="68" t="s">
        <v>321</v>
      </c>
      <c r="AH11" s="28"/>
      <c r="AI11" s="29"/>
      <c r="AK11" s="98" t="s">
        <v>514</v>
      </c>
      <c r="AL11" s="99"/>
      <c r="AM11" s="58"/>
      <c r="AN11" s="69"/>
      <c r="AO11" s="8"/>
      <c r="AP11" s="230" t="s">
        <v>436</v>
      </c>
      <c r="AQ11" s="234"/>
      <c r="AR11" s="234"/>
      <c r="AS11" s="231"/>
      <c r="AT11" s="231"/>
      <c r="AU11" s="105" t="s">
        <v>54</v>
      </c>
      <c r="AV11" s="105"/>
      <c r="AW11" s="105"/>
      <c r="AY11" s="196" t="s">
        <v>574</v>
      </c>
      <c r="AZ11" s="113"/>
      <c r="BA11" s="113"/>
      <c r="BB11" s="114"/>
      <c r="BD11" s="202" t="s">
        <v>653</v>
      </c>
      <c r="BE11" s="99"/>
      <c r="BF11" s="99"/>
      <c r="BG11" s="120"/>
      <c r="BI11" s="347" t="s">
        <v>223</v>
      </c>
      <c r="BN11" s="57" t="s">
        <v>654</v>
      </c>
      <c r="BO11" s="58"/>
      <c r="BP11" s="58"/>
      <c r="BQ11" s="59"/>
      <c r="BR11" s="267"/>
      <c r="BS11" s="57" t="s">
        <v>525</v>
      </c>
      <c r="BT11" s="58"/>
      <c r="BU11" s="58"/>
      <c r="BV11" s="59"/>
      <c r="BX11" s="57" t="s">
        <v>367</v>
      </c>
      <c r="BY11" s="58"/>
      <c r="BZ11" s="58"/>
      <c r="CA11" s="59"/>
      <c r="CC11" s="57" t="s">
        <v>452</v>
      </c>
      <c r="CD11" s="58"/>
      <c r="CE11" s="58"/>
      <c r="CF11" s="59"/>
    </row>
    <row r="12" spans="1:84">
      <c r="A12" s="8" t="s">
        <v>364</v>
      </c>
      <c r="G12" s="39"/>
      <c r="H12" s="39"/>
      <c r="I12" s="39"/>
      <c r="J12" s="39"/>
      <c r="L12" s="227" t="s">
        <v>47</v>
      </c>
      <c r="M12" s="227"/>
      <c r="N12" s="227"/>
      <c r="P12" s="227"/>
      <c r="Q12" s="227"/>
      <c r="R12" s="83"/>
      <c r="S12" s="227"/>
      <c r="W12" s="39"/>
      <c r="X12" s="39"/>
      <c r="Y12" s="39"/>
      <c r="Z12" s="39"/>
      <c r="AB12" s="39"/>
      <c r="AC12" s="39"/>
      <c r="AD12" s="39"/>
      <c r="AE12" s="39"/>
      <c r="AG12" s="39"/>
      <c r="AH12" s="39"/>
      <c r="AI12" s="39"/>
      <c r="AK12" s="39"/>
      <c r="AL12" s="39"/>
      <c r="AM12" s="83"/>
      <c r="AN12" s="39"/>
      <c r="AO12" s="8"/>
      <c r="AP12" s="231"/>
      <c r="AQ12" s="231"/>
      <c r="AR12" s="231"/>
      <c r="AS12" s="231"/>
      <c r="AT12" s="231"/>
      <c r="AU12" s="227"/>
      <c r="AV12" s="227"/>
      <c r="AW12" s="227"/>
      <c r="AY12" s="227"/>
      <c r="AZ12" s="227"/>
      <c r="BA12" s="227"/>
      <c r="BB12" s="227"/>
      <c r="BD12" s="39"/>
      <c r="BE12" s="39"/>
      <c r="BF12" s="39"/>
      <c r="BG12" s="159"/>
      <c r="BN12" s="83"/>
      <c r="BO12" s="83"/>
      <c r="BP12" s="83"/>
      <c r="BQ12" s="83"/>
      <c r="BR12" s="267"/>
      <c r="BS12" s="83"/>
      <c r="BT12" s="83"/>
      <c r="BU12" s="83"/>
      <c r="BV12" s="83"/>
      <c r="BX12" s="83"/>
      <c r="BY12" s="83"/>
      <c r="BZ12" s="83"/>
      <c r="CA12" s="83"/>
      <c r="CC12" s="83"/>
      <c r="CD12" s="83"/>
      <c r="CE12" s="83"/>
      <c r="CF12" s="83"/>
    </row>
    <row r="13" spans="1:84">
      <c r="A13" s="8" t="s">
        <v>365</v>
      </c>
      <c r="B13" s="22" t="s">
        <v>632</v>
      </c>
      <c r="C13" s="1" t="s">
        <v>480</v>
      </c>
      <c r="G13" s="61" t="s">
        <v>405</v>
      </c>
      <c r="H13" s="61" t="s">
        <v>356</v>
      </c>
      <c r="I13" s="61"/>
      <c r="J13" s="8" t="s">
        <v>340</v>
      </c>
      <c r="L13" s="66" t="s">
        <v>405</v>
      </c>
      <c r="M13" s="66" t="s">
        <v>356</v>
      </c>
      <c r="N13" s="66"/>
      <c r="P13" s="80" t="s">
        <v>405</v>
      </c>
      <c r="Q13" s="80" t="s">
        <v>356</v>
      </c>
      <c r="R13" s="80"/>
      <c r="S13" s="8" t="s">
        <v>340</v>
      </c>
      <c r="W13" s="190" t="s">
        <v>405</v>
      </c>
      <c r="X13" s="190" t="s">
        <v>356</v>
      </c>
      <c r="Y13" s="190"/>
      <c r="Z13" s="190" t="s">
        <v>340</v>
      </c>
      <c r="AB13" s="70" t="s">
        <v>405</v>
      </c>
      <c r="AC13" s="70" t="s">
        <v>356</v>
      </c>
      <c r="AD13" s="70"/>
      <c r="AE13" s="8" t="s">
        <v>340</v>
      </c>
      <c r="AG13" s="45" t="s">
        <v>405</v>
      </c>
      <c r="AH13" s="45" t="s">
        <v>356</v>
      </c>
      <c r="AI13" s="45"/>
      <c r="AK13" s="70" t="s">
        <v>405</v>
      </c>
      <c r="AL13" s="70" t="s">
        <v>356</v>
      </c>
      <c r="AM13" s="70"/>
      <c r="AN13" s="100" t="s">
        <v>466</v>
      </c>
      <c r="AO13" s="8"/>
      <c r="AP13" s="235" t="s">
        <v>81</v>
      </c>
      <c r="AQ13" s="236" t="s">
        <v>657</v>
      </c>
      <c r="AR13" s="236" t="s">
        <v>120</v>
      </c>
      <c r="AS13" s="238" t="s">
        <v>117</v>
      </c>
      <c r="AT13" s="215"/>
      <c r="AU13" s="235" t="s">
        <v>17</v>
      </c>
      <c r="AV13" s="236" t="s">
        <v>657</v>
      </c>
      <c r="AW13" s="238" t="s">
        <v>120</v>
      </c>
      <c r="AY13" s="115" t="s">
        <v>405</v>
      </c>
      <c r="AZ13" s="115" t="s">
        <v>356</v>
      </c>
      <c r="BA13" s="115"/>
      <c r="BB13" s="8" t="s">
        <v>476</v>
      </c>
      <c r="BD13" s="100" t="s">
        <v>405</v>
      </c>
      <c r="BE13" s="100" t="s">
        <v>356</v>
      </c>
      <c r="BF13" s="100"/>
      <c r="BG13" s="121" t="s">
        <v>476</v>
      </c>
      <c r="BI13" s="348" t="s">
        <v>405</v>
      </c>
      <c r="BJ13" s="334" t="s">
        <v>356</v>
      </c>
      <c r="BK13" s="334"/>
      <c r="BL13" s="8" t="s">
        <v>340</v>
      </c>
      <c r="BN13" s="45" t="s">
        <v>405</v>
      </c>
      <c r="BO13" s="45" t="s">
        <v>356</v>
      </c>
      <c r="BP13" s="45"/>
      <c r="BQ13" s="70" t="s">
        <v>476</v>
      </c>
      <c r="BS13" s="45" t="s">
        <v>405</v>
      </c>
      <c r="BT13" s="45" t="s">
        <v>356</v>
      </c>
      <c r="BU13" s="45"/>
      <c r="BV13" s="70" t="s">
        <v>476</v>
      </c>
      <c r="BX13" s="163" t="s">
        <v>405</v>
      </c>
      <c r="BY13" s="163" t="s">
        <v>356</v>
      </c>
      <c r="BZ13" s="163"/>
      <c r="CA13" s="163" t="s">
        <v>476</v>
      </c>
      <c r="CC13" s="100" t="s">
        <v>405</v>
      </c>
      <c r="CD13" s="100" t="s">
        <v>356</v>
      </c>
      <c r="CE13" s="100"/>
      <c r="CF13" s="100" t="s">
        <v>476</v>
      </c>
    </row>
    <row r="14" spans="1:84">
      <c r="A14" s="8" t="s">
        <v>427</v>
      </c>
      <c r="B14" s="22" t="s">
        <v>207</v>
      </c>
      <c r="C14" s="1" t="s">
        <v>564</v>
      </c>
      <c r="D14" s="1" t="s">
        <v>37</v>
      </c>
      <c r="G14" s="61" t="s">
        <v>249</v>
      </c>
      <c r="H14" s="61" t="s">
        <v>472</v>
      </c>
      <c r="I14" s="61" t="s">
        <v>375</v>
      </c>
      <c r="J14" s="8" t="s">
        <v>477</v>
      </c>
      <c r="L14" s="66" t="s">
        <v>249</v>
      </c>
      <c r="M14" s="66" t="s">
        <v>472</v>
      </c>
      <c r="N14" s="66" t="s">
        <v>375</v>
      </c>
      <c r="P14" s="80" t="s">
        <v>249</v>
      </c>
      <c r="Q14" s="80" t="s">
        <v>472</v>
      </c>
      <c r="R14" s="80" t="s">
        <v>375</v>
      </c>
      <c r="S14" s="8" t="s">
        <v>477</v>
      </c>
      <c r="W14" s="190" t="s">
        <v>249</v>
      </c>
      <c r="X14" s="190" t="s">
        <v>472</v>
      </c>
      <c r="Y14" s="190" t="s">
        <v>375</v>
      </c>
      <c r="Z14" s="190" t="s">
        <v>477</v>
      </c>
      <c r="AB14" s="70" t="s">
        <v>249</v>
      </c>
      <c r="AC14" s="70" t="s">
        <v>472</v>
      </c>
      <c r="AD14" s="70" t="s">
        <v>375</v>
      </c>
      <c r="AE14" s="8" t="s">
        <v>477</v>
      </c>
      <c r="AG14" s="45" t="s">
        <v>249</v>
      </c>
      <c r="AH14" s="45" t="s">
        <v>472</v>
      </c>
      <c r="AI14" s="45" t="s">
        <v>375</v>
      </c>
      <c r="AK14" s="70" t="s">
        <v>249</v>
      </c>
      <c r="AL14" s="70" t="s">
        <v>472</v>
      </c>
      <c r="AM14" s="70" t="s">
        <v>375</v>
      </c>
      <c r="AN14" s="100" t="s">
        <v>477</v>
      </c>
      <c r="AO14" s="8"/>
      <c r="AP14" s="228" t="s">
        <v>111</v>
      </c>
      <c r="AS14" s="231"/>
      <c r="AT14" s="231"/>
      <c r="AU14" s="237" t="s">
        <v>125</v>
      </c>
      <c r="AV14" s="149"/>
      <c r="AW14" s="80"/>
      <c r="AY14" s="115" t="s">
        <v>249</v>
      </c>
      <c r="AZ14" s="115" t="s">
        <v>472</v>
      </c>
      <c r="BA14" s="115" t="s">
        <v>375</v>
      </c>
      <c r="BB14" s="8" t="s">
        <v>477</v>
      </c>
      <c r="BD14" s="100" t="s">
        <v>249</v>
      </c>
      <c r="BE14" s="100" t="s">
        <v>472</v>
      </c>
      <c r="BF14" s="100" t="s">
        <v>375</v>
      </c>
      <c r="BG14" s="121" t="s">
        <v>477</v>
      </c>
      <c r="BI14" s="348" t="s">
        <v>249</v>
      </c>
      <c r="BJ14" s="334" t="s">
        <v>472</v>
      </c>
      <c r="BK14" s="334" t="s">
        <v>403</v>
      </c>
      <c r="BL14" s="8" t="s">
        <v>477</v>
      </c>
      <c r="BN14" s="45" t="s">
        <v>249</v>
      </c>
      <c r="BO14" s="45" t="s">
        <v>472</v>
      </c>
      <c r="BP14" s="45" t="s">
        <v>375</v>
      </c>
      <c r="BQ14" s="70" t="s">
        <v>477</v>
      </c>
      <c r="BS14" s="45" t="s">
        <v>249</v>
      </c>
      <c r="BT14" s="45" t="s">
        <v>472</v>
      </c>
      <c r="BU14" s="45" t="s">
        <v>375</v>
      </c>
      <c r="BV14" s="70" t="s">
        <v>477</v>
      </c>
      <c r="BX14" s="163" t="s">
        <v>249</v>
      </c>
      <c r="BY14" s="163" t="s">
        <v>472</v>
      </c>
      <c r="BZ14" s="163" t="s">
        <v>375</v>
      </c>
      <c r="CA14" s="163" t="s">
        <v>477</v>
      </c>
      <c r="CC14" s="100" t="s">
        <v>249</v>
      </c>
      <c r="CD14" s="100" t="s">
        <v>472</v>
      </c>
      <c r="CE14" s="100" t="s">
        <v>375</v>
      </c>
      <c r="CF14" s="100" t="s">
        <v>477</v>
      </c>
    </row>
    <row r="15" spans="1:84">
      <c r="A15" s="1">
        <v>1</v>
      </c>
      <c r="B15" s="13" t="s">
        <v>165</v>
      </c>
      <c r="C15" s="38" t="s">
        <v>166</v>
      </c>
      <c r="D15" s="38" t="s">
        <v>238</v>
      </c>
      <c r="G15" s="86">
        <f>SUM(G16:G26)</f>
        <v>2036.7271116484985</v>
      </c>
      <c r="H15" s="86">
        <f>SUM(H16:H26)</f>
        <v>9385.3938245611353</v>
      </c>
      <c r="I15" s="86">
        <f>SUM(I16:I26)</f>
        <v>3696.0366600576413</v>
      </c>
      <c r="J15" s="332">
        <f>G15+H15+I15</f>
        <v>15118.157596267276</v>
      </c>
      <c r="K15" s="129"/>
      <c r="L15" s="87">
        <f>P15/G15</f>
        <v>212.70271745163438</v>
      </c>
      <c r="M15" s="87">
        <f>Q15/H15</f>
        <v>438.37014227341558</v>
      </c>
      <c r="N15" s="87">
        <f>R15/I15</f>
        <v>962.85281739352433</v>
      </c>
      <c r="O15" s="51"/>
      <c r="P15" s="130">
        <f>SUM(P16:P26)</f>
        <v>433217.39135505399</v>
      </c>
      <c r="Q15" s="130">
        <f>SUM(Q16:Q26)</f>
        <v>4114276.4261649009</v>
      </c>
      <c r="R15" s="130">
        <f>SUM(R16:R26)</f>
        <v>3558739.3113262518</v>
      </c>
      <c r="S15" s="130">
        <f t="shared" ref="S15:S26" si="0">P15+Q15+R15</f>
        <v>8106233.1288462076</v>
      </c>
      <c r="T15" s="13" t="s">
        <v>233</v>
      </c>
      <c r="U15" s="38" t="s">
        <v>234</v>
      </c>
      <c r="V15" s="38" t="s">
        <v>328</v>
      </c>
      <c r="W15" s="191">
        <v>3437.1615697741563</v>
      </c>
      <c r="X15" s="191">
        <f>SUM(X16:X26)</f>
        <v>13795.452725362811</v>
      </c>
      <c r="Y15" s="191">
        <f>SUM(Y16:Y25)</f>
        <v>6445.6587433078648</v>
      </c>
      <c r="Z15" s="191">
        <f>W15+X15+Y15</f>
        <v>23678.273038444833</v>
      </c>
      <c r="AA15" s="51"/>
      <c r="AB15" s="86">
        <f>SUM(AB16:AB26)</f>
        <v>1400.4344581256578</v>
      </c>
      <c r="AC15" s="129">
        <f>SUM(AC16:AC26)</f>
        <v>4410.0589008016741</v>
      </c>
      <c r="AD15" s="129">
        <f>SUM(AD16:AD25)</f>
        <v>2749.622083250224</v>
      </c>
      <c r="AE15" s="129">
        <f>AB15+AC15+AD15</f>
        <v>8560.1154421775555</v>
      </c>
      <c r="AG15" s="88">
        <f>AK15/AB15</f>
        <v>147.87979041622401</v>
      </c>
      <c r="AH15" s="88">
        <f>AL15/AC15</f>
        <v>262.71024511206502</v>
      </c>
      <c r="AI15" s="88">
        <f>AM15/AD15</f>
        <v>188.74983954643406</v>
      </c>
      <c r="AJ15" s="51"/>
      <c r="AK15" s="123">
        <f>SUM(AK17:AK22)+AK26</f>
        <v>207095.95415928052</v>
      </c>
      <c r="AL15" s="123">
        <f>SUM(AL17:AL22)+AL26</f>
        <v>1158567.6547882517</v>
      </c>
      <c r="AM15" s="123">
        <f>SUM(AM17:AM22)+AM26</f>
        <v>518990.72702681151</v>
      </c>
      <c r="AN15" s="125">
        <f>AK15+AL15+AM15</f>
        <v>1884654.3359743438</v>
      </c>
      <c r="AO15" s="86"/>
      <c r="AP15" s="232">
        <f>SUM(AB17:AB22)+AP26</f>
        <v>1400.4344581256578</v>
      </c>
      <c r="AQ15" s="232">
        <f>SUM(AC17:AC22)+AQ26</f>
        <v>4410.0589008016741</v>
      </c>
      <c r="AR15" s="232">
        <f>SUM(AD17:AD22)</f>
        <v>2749.622083250224</v>
      </c>
      <c r="AS15" s="232">
        <f>AP15+AQ15+AR15</f>
        <v>8560.1154421775555</v>
      </c>
      <c r="AT15" s="231"/>
      <c r="AY15" s="1"/>
      <c r="AZ15" s="1"/>
      <c r="BA15" s="1"/>
      <c r="BD15" s="117">
        <f>SUM(BD16:BD26)</f>
        <v>207095.95415928055</v>
      </c>
      <c r="BE15" s="117">
        <f>SUM(BE16:BE26)</f>
        <v>1158567.654788252</v>
      </c>
      <c r="BF15" s="117">
        <f>SUM(BF16:BF26)</f>
        <v>518990.72702681145</v>
      </c>
      <c r="BG15" s="118">
        <f>BD15+BE15+BF15</f>
        <v>1884654.3359743441</v>
      </c>
      <c r="BH15" s="38"/>
      <c r="BI15" s="349">
        <f>(AP15-AB15)/G15</f>
        <v>0</v>
      </c>
      <c r="BJ15" s="349">
        <f>(AQ15-AC15)/H15</f>
        <v>0</v>
      </c>
      <c r="BK15" s="349">
        <f>(AR15-AD15)/I15</f>
        <v>0</v>
      </c>
      <c r="BL15" s="349">
        <f>(AS15-AE15)/J15</f>
        <v>0</v>
      </c>
      <c r="BM15" s="38"/>
      <c r="BN15" s="108">
        <f>SUM(BN16:BN26)</f>
        <v>3437.1615697741568</v>
      </c>
      <c r="BO15" s="228">
        <f>SUM(BO16:BO26)</f>
        <v>13795.452725362811</v>
      </c>
      <c r="BP15" s="228">
        <f>SUM(BP16:BP26)</f>
        <v>6445.6587433078648</v>
      </c>
      <c r="BQ15" s="108">
        <f t="shared" ref="BQ15:BQ26" si="1">BN15+BO15+BP15</f>
        <v>23678.273038444833</v>
      </c>
      <c r="BS15" s="138">
        <f>CC15/BN15</f>
        <v>186.29131407296839</v>
      </c>
      <c r="BT15" s="138">
        <f>CD15/BO15</f>
        <v>382.2160958341787</v>
      </c>
      <c r="BU15" s="138">
        <f>CE15/BP15</f>
        <v>632.63200872784682</v>
      </c>
      <c r="BV15" s="138">
        <f>CF15/BQ15</f>
        <v>421.94324934926692</v>
      </c>
      <c r="BX15" s="171">
        <f t="shared" ref="BX15:BX24" si="2">CC15/G15</f>
        <v>314.38347427705907</v>
      </c>
      <c r="BY15" s="171">
        <f t="shared" ref="BY15:BY24" si="3">CD15/H15</f>
        <v>561.81383323035084</v>
      </c>
      <c r="BZ15" s="171">
        <f t="shared" ref="BZ15:BZ24" si="4">CE15/I15</f>
        <v>1103.2709936079123</v>
      </c>
      <c r="CA15" s="171">
        <f t="shared" ref="CA15:CA24" si="5">CF15/J15</f>
        <v>660.85350686431104</v>
      </c>
      <c r="CC15" s="131">
        <f>SUM(CC16:CC26)</f>
        <v>640313.34551433451</v>
      </c>
      <c r="CD15" s="173">
        <f>SUM(CD16:CD26)</f>
        <v>5272844.0809531538</v>
      </c>
      <c r="CE15" s="173">
        <f>SUM(CE16:CE26)</f>
        <v>4077730.0383530636</v>
      </c>
      <c r="CF15" s="131">
        <f>CC15+CD15+CE15</f>
        <v>9990887.4648205526</v>
      </c>
    </row>
    <row r="16" spans="1:84">
      <c r="A16" s="1">
        <v>2</v>
      </c>
      <c r="B16" s="14" t="s">
        <v>360</v>
      </c>
      <c r="C16" s="5" t="s">
        <v>361</v>
      </c>
      <c r="D16" s="37" t="s">
        <v>205</v>
      </c>
      <c r="G16" s="86">
        <v>73.068323586118268</v>
      </c>
      <c r="H16" s="86">
        <v>418.37451309653005</v>
      </c>
      <c r="I16" s="86">
        <v>882.38165577173538</v>
      </c>
      <c r="J16" s="332">
        <f t="shared" ref="J16:J26" si="6">G16+H16+I16</f>
        <v>1373.8244924543837</v>
      </c>
      <c r="K16" s="129"/>
      <c r="L16" s="87">
        <v>2116.8633333333332</v>
      </c>
      <c r="M16" s="87">
        <v>1966.2857142857142</v>
      </c>
      <c r="N16" s="87">
        <v>3080.25</v>
      </c>
      <c r="O16" s="51"/>
      <c r="P16" s="130">
        <f t="shared" ref="P16:P24" si="7">G16*L16</f>
        <v>154675.65502758892</v>
      </c>
      <c r="Q16" s="130">
        <f t="shared" ref="Q16:Q24" si="8">H16*M16</f>
        <v>822643.82832294854</v>
      </c>
      <c r="R16" s="130">
        <f t="shared" ref="R16:R24" si="9">I16*N16</f>
        <v>2717956.0951908878</v>
      </c>
      <c r="S16" s="130">
        <f t="shared" si="0"/>
        <v>3695275.5785414251</v>
      </c>
      <c r="T16" s="14" t="s">
        <v>329</v>
      </c>
      <c r="U16" s="5" t="s">
        <v>404</v>
      </c>
      <c r="V16" s="37" t="s">
        <v>205</v>
      </c>
      <c r="W16" s="191">
        <v>73.068323586118268</v>
      </c>
      <c r="X16" s="191">
        <v>418.37451309653005</v>
      </c>
      <c r="Y16" s="191">
        <v>882.38165577173538</v>
      </c>
      <c r="Z16" s="191">
        <v>1373.8244924543837</v>
      </c>
      <c r="AA16" s="51"/>
      <c r="AB16" s="51"/>
      <c r="AC16" s="51"/>
      <c r="AD16" s="51"/>
      <c r="AE16" s="51"/>
      <c r="AG16" s="51"/>
      <c r="AH16" s="51"/>
      <c r="AI16" s="51"/>
      <c r="AJ16" s="51"/>
      <c r="AK16" s="123"/>
      <c r="AL16" s="123"/>
      <c r="AM16" s="123"/>
      <c r="AN16" s="125"/>
      <c r="AO16" s="86"/>
      <c r="AP16" s="228">
        <f t="shared" ref="AP16:AQ21" si="10">(AP$15-AP$26)*G16/SUM(G$16:G$21)</f>
        <v>91.27365339766807</v>
      </c>
      <c r="AQ16" s="240">
        <f t="shared" si="10"/>
        <v>195.49692947159321</v>
      </c>
      <c r="AR16" s="240">
        <f t="shared" ref="AR16:AR21" si="11">(AR$15)*I16/SUM(I$16:I$21)</f>
        <v>850.98126028872059</v>
      </c>
      <c r="AS16" s="231">
        <f t="shared" ref="AS16:AS46" si="12">AP16+AQ16+AR16</f>
        <v>1137.751843157982</v>
      </c>
      <c r="AU16" s="219">
        <f t="shared" ref="AU16:AW21" si="13">AP16/G16</f>
        <v>1.2491548857021881</v>
      </c>
      <c r="AV16" s="219">
        <f t="shared" si="13"/>
        <v>0.46727733968461627</v>
      </c>
      <c r="AW16" s="219">
        <f t="shared" si="13"/>
        <v>0.96441404320044277</v>
      </c>
      <c r="AY16" s="110">
        <v>147.87979041622401</v>
      </c>
      <c r="AZ16" s="174">
        <v>346.15642689572292</v>
      </c>
      <c r="BA16" s="174">
        <v>188.74983954643406</v>
      </c>
      <c r="BD16" s="117">
        <f t="shared" ref="BD16:BF21" si="14">AP16*AY16</f>
        <v>13497.528734970227</v>
      </c>
      <c r="BE16" s="221">
        <f t="shared" si="14"/>
        <v>67672.518574971851</v>
      </c>
      <c r="BF16" s="221">
        <f t="shared" si="14"/>
        <v>160622.57633651825</v>
      </c>
      <c r="BG16" s="118">
        <f t="shared" ref="BG16:BG21" si="15">BD16+BE16+BF16</f>
        <v>241792.62364646033</v>
      </c>
      <c r="BH16" s="5"/>
      <c r="BI16" s="349">
        <f t="shared" ref="BI16:BI46" si="16">(AP16-AB16)/G16</f>
        <v>1.2491548857021881</v>
      </c>
      <c r="BJ16" s="349">
        <f t="shared" ref="BJ16:BJ46" si="17">(AQ16-AC16)/H16</f>
        <v>0.46727733968461627</v>
      </c>
      <c r="BK16" s="349">
        <f t="shared" ref="BK16:BK22" si="18">(AR16-AD16)/I16</f>
        <v>0.96441404320044277</v>
      </c>
      <c r="BL16" s="349">
        <f t="shared" ref="BL16:BL46" si="19">(AS16-AE16)/J16</f>
        <v>0.82816389532068246</v>
      </c>
      <c r="BM16" s="5"/>
      <c r="BN16" s="108">
        <f t="shared" ref="BN16:BN25" si="20">G16+AP16</f>
        <v>164.34197698378634</v>
      </c>
      <c r="BO16" s="228">
        <f t="shared" ref="BO16:BO25" si="21">H16+AQ16</f>
        <v>613.87144256812326</v>
      </c>
      <c r="BP16" s="228">
        <f t="shared" ref="BP16:BP25" si="22">I16+AR16</f>
        <v>1733.362916060456</v>
      </c>
      <c r="BQ16" s="108">
        <f t="shared" si="1"/>
        <v>2511.5763356123657</v>
      </c>
      <c r="BS16" s="138">
        <f t="shared" ref="BS16:BS25" si="23">CC16/BN16</f>
        <v>1023.3124053214401</v>
      </c>
      <c r="BT16" s="138">
        <f t="shared" ref="BT16:BT26" si="24">CD16/BO16</f>
        <v>1450.3302893082848</v>
      </c>
      <c r="BU16" s="138">
        <f t="shared" ref="BU16:BU24" si="25">CE16/BP16</f>
        <v>1660.6901214142554</v>
      </c>
      <c r="BV16" s="138">
        <f t="shared" ref="BV16:BV26" si="26">CF16/BQ16</f>
        <v>1567.5686007879033</v>
      </c>
      <c r="BX16" s="171">
        <f t="shared" si="2"/>
        <v>2301.5880960283748</v>
      </c>
      <c r="BY16" s="171">
        <f t="shared" si="3"/>
        <v>2128.0367685602801</v>
      </c>
      <c r="BZ16" s="171">
        <f t="shared" si="4"/>
        <v>3262.2829959104115</v>
      </c>
      <c r="CA16" s="171">
        <f t="shared" si="5"/>
        <v>2865.7723193988049</v>
      </c>
      <c r="CC16" s="131">
        <f t="shared" ref="CC16:CC24" si="27">P16+BD16</f>
        <v>168173.18376255914</v>
      </c>
      <c r="CD16" s="221">
        <f t="shared" ref="CD16:CD24" si="28">Q16+BE16</f>
        <v>890316.34689792036</v>
      </c>
      <c r="CE16" s="221">
        <f t="shared" ref="CE16:CE24" si="29">R16+BF16</f>
        <v>2878578.6715274062</v>
      </c>
      <c r="CF16" s="131">
        <f>CC16+CD16+CE16</f>
        <v>3937068.2021878855</v>
      </c>
    </row>
    <row r="17" spans="1:84">
      <c r="A17" s="1">
        <v>3</v>
      </c>
      <c r="B17" s="14"/>
      <c r="C17" s="5" t="s">
        <v>362</v>
      </c>
      <c r="D17" s="37" t="s">
        <v>372</v>
      </c>
      <c r="G17" s="86">
        <v>405.1970671593831</v>
      </c>
      <c r="H17" s="86">
        <v>2386.8172746096379</v>
      </c>
      <c r="I17" s="86">
        <v>930.99772496026071</v>
      </c>
      <c r="J17" s="332">
        <f t="shared" si="6"/>
        <v>3723.0120667292817</v>
      </c>
      <c r="K17" s="129"/>
      <c r="L17" s="87">
        <v>229.96091895105462</v>
      </c>
      <c r="M17" s="87">
        <v>914.50019809548371</v>
      </c>
      <c r="N17" s="87">
        <v>325.24250368319986</v>
      </c>
      <c r="O17" s="51"/>
      <c r="P17" s="130">
        <f t="shared" si="7"/>
        <v>93179.489920243926</v>
      </c>
      <c r="Q17" s="130">
        <f t="shared" si="8"/>
        <v>2182744.8704482364</v>
      </c>
      <c r="R17" s="130">
        <f t="shared" si="9"/>
        <v>302800.0309894383</v>
      </c>
      <c r="S17" s="130">
        <f t="shared" si="0"/>
        <v>2578724.3913579187</v>
      </c>
      <c r="T17" s="14"/>
      <c r="U17" s="5" t="s">
        <v>317</v>
      </c>
      <c r="V17" s="37" t="s">
        <v>69</v>
      </c>
      <c r="W17" s="191">
        <v>667.41576279998208</v>
      </c>
      <c r="X17" s="191">
        <v>3080.2713886087968</v>
      </c>
      <c r="Y17" s="191">
        <v>1178.1666052207909</v>
      </c>
      <c r="Z17" s="191">
        <v>4925.8537566295699</v>
      </c>
      <c r="AA17" s="51"/>
      <c r="AB17" s="129">
        <f t="shared" ref="AB17:AE22" si="30">W17-G17</f>
        <v>262.21869564059898</v>
      </c>
      <c r="AC17" s="129">
        <f t="shared" si="30"/>
        <v>693.45411399915884</v>
      </c>
      <c r="AD17" s="129">
        <f t="shared" si="30"/>
        <v>247.16888026053016</v>
      </c>
      <c r="AE17" s="129">
        <f t="shared" si="30"/>
        <v>1202.8416899002882</v>
      </c>
      <c r="AG17" s="248">
        <f t="shared" ref="AG17:AI22" si="31">L17</f>
        <v>229.96091895105462</v>
      </c>
      <c r="AH17" s="248">
        <f t="shared" si="31"/>
        <v>914.50019809548371</v>
      </c>
      <c r="AI17" s="248">
        <f t="shared" si="31"/>
        <v>325.24250368319986</v>
      </c>
      <c r="AJ17" s="51"/>
      <c r="AK17" s="123">
        <f t="shared" ref="AK17:AM22" si="32">AB17*AG17</f>
        <v>60300.052215659045</v>
      </c>
      <c r="AL17" s="123">
        <f t="shared" si="32"/>
        <v>634163.92462235887</v>
      </c>
      <c r="AM17" s="123">
        <f t="shared" si="32"/>
        <v>80389.825448507865</v>
      </c>
      <c r="AN17" s="125">
        <f t="shared" ref="AN17:AN26" si="33">AK17+AL17+AM17</f>
        <v>774853.80228652584</v>
      </c>
      <c r="AO17" s="86"/>
      <c r="AP17" s="240">
        <f t="shared" si="10"/>
        <v>506.15389611434102</v>
      </c>
      <c r="AQ17" s="240">
        <f t="shared" si="10"/>
        <v>1115.3056263928777</v>
      </c>
      <c r="AR17" s="240">
        <f t="shared" si="11"/>
        <v>897.86728013933885</v>
      </c>
      <c r="AS17" s="231">
        <f t="shared" si="12"/>
        <v>2519.3268026465576</v>
      </c>
      <c r="AU17" s="219">
        <f t="shared" si="13"/>
        <v>1.2491548857021881</v>
      </c>
      <c r="AV17" s="219">
        <f t="shared" si="13"/>
        <v>0.46727733968461621</v>
      </c>
      <c r="AW17" s="219">
        <f t="shared" si="13"/>
        <v>0.96441404320044277</v>
      </c>
      <c r="AY17" s="219">
        <v>147.87979041622401</v>
      </c>
      <c r="AZ17" s="219">
        <v>346.15642689572292</v>
      </c>
      <c r="BA17" s="219">
        <v>188.74983954643406</v>
      </c>
      <c r="BD17" s="221">
        <f t="shared" si="14"/>
        <v>74849.932075743971</v>
      </c>
      <c r="BE17" s="221">
        <f t="shared" si="14"/>
        <v>386070.21052885463</v>
      </c>
      <c r="BF17" s="221">
        <f t="shared" si="14"/>
        <v>169472.30506029338</v>
      </c>
      <c r="BG17" s="118">
        <f t="shared" si="15"/>
        <v>630392.44766489195</v>
      </c>
      <c r="BH17" s="5"/>
      <c r="BI17" s="349">
        <f t="shared" si="16"/>
        <v>0.60201620456890137</v>
      </c>
      <c r="BJ17" s="349">
        <f t="shared" si="17"/>
        <v>0.17674227385618044</v>
      </c>
      <c r="BK17" s="349">
        <f t="shared" si="18"/>
        <v>0.69892587536299677</v>
      </c>
      <c r="BL17" s="349">
        <f t="shared" si="19"/>
        <v>0.35360753313454069</v>
      </c>
      <c r="BM17" s="5"/>
      <c r="BN17" s="240">
        <f t="shared" si="20"/>
        <v>911.35096327372412</v>
      </c>
      <c r="BO17" s="240">
        <f t="shared" si="21"/>
        <v>3502.1229010025154</v>
      </c>
      <c r="BP17" s="240">
        <f t="shared" si="22"/>
        <v>1828.8650050995996</v>
      </c>
      <c r="BQ17" s="108">
        <f t="shared" si="1"/>
        <v>6242.3388693758388</v>
      </c>
      <c r="BS17" s="138">
        <f t="shared" si="23"/>
        <v>184.37399944407616</v>
      </c>
      <c r="BT17" s="138">
        <f t="shared" si="24"/>
        <v>733.50226522368587</v>
      </c>
      <c r="BU17" s="138">
        <f t="shared" si="25"/>
        <v>258.23247464020005</v>
      </c>
      <c r="BV17" s="138">
        <f t="shared" si="26"/>
        <v>514.08885454238157</v>
      </c>
      <c r="BX17" s="171">
        <f t="shared" si="2"/>
        <v>414.68568164609638</v>
      </c>
      <c r="BY17" s="171">
        <f t="shared" si="3"/>
        <v>1076.2512523700495</v>
      </c>
      <c r="BZ17" s="171">
        <f t="shared" si="4"/>
        <v>507.27549959361124</v>
      </c>
      <c r="CA17" s="171">
        <f t="shared" si="5"/>
        <v>861.96788554651789</v>
      </c>
      <c r="CC17" s="221">
        <f t="shared" si="27"/>
        <v>168029.42199598788</v>
      </c>
      <c r="CD17" s="221">
        <f t="shared" si="28"/>
        <v>2568815.0809770911</v>
      </c>
      <c r="CE17" s="221">
        <f t="shared" si="29"/>
        <v>472272.3360497317</v>
      </c>
      <c r="CF17" s="131">
        <f t="shared" ref="CF17:CF26" si="34">CC17+CD17+CE17</f>
        <v>3209116.8390228106</v>
      </c>
    </row>
    <row r="18" spans="1:84">
      <c r="A18" s="1">
        <v>4</v>
      </c>
      <c r="B18" s="14" t="s">
        <v>374</v>
      </c>
      <c r="C18" s="5" t="s">
        <v>174</v>
      </c>
      <c r="D18" s="38" t="s">
        <v>33</v>
      </c>
      <c r="G18" s="86">
        <v>273</v>
      </c>
      <c r="H18" s="86">
        <v>1514</v>
      </c>
      <c r="I18" s="86">
        <v>299</v>
      </c>
      <c r="J18" s="332">
        <f t="shared" si="6"/>
        <v>2086</v>
      </c>
      <c r="K18" s="129"/>
      <c r="L18" s="87">
        <v>175.4366666666667</v>
      </c>
      <c r="M18" s="87">
        <v>213.27200000000002</v>
      </c>
      <c r="N18" s="87">
        <v>196.49</v>
      </c>
      <c r="O18" s="51"/>
      <c r="P18" s="130">
        <f t="shared" si="7"/>
        <v>47894.210000000006</v>
      </c>
      <c r="Q18" s="130">
        <f t="shared" si="8"/>
        <v>322893.80800000002</v>
      </c>
      <c r="R18" s="130">
        <f t="shared" si="9"/>
        <v>58750.51</v>
      </c>
      <c r="S18" s="130">
        <f t="shared" si="0"/>
        <v>429538.52800000005</v>
      </c>
      <c r="T18" s="14" t="s">
        <v>86</v>
      </c>
      <c r="U18" s="5" t="s">
        <v>87</v>
      </c>
      <c r="V18" s="38" t="s">
        <v>388</v>
      </c>
      <c r="W18" s="191">
        <v>449.66885994938718</v>
      </c>
      <c r="X18" s="191">
        <v>1938.4069781944418</v>
      </c>
      <c r="Y18" s="191">
        <v>378.38096218339638</v>
      </c>
      <c r="Z18" s="191">
        <v>2766.4568003272252</v>
      </c>
      <c r="AA18" s="51"/>
      <c r="AB18" s="129">
        <f t="shared" si="30"/>
        <v>176.66885994938718</v>
      </c>
      <c r="AC18" s="129">
        <f t="shared" si="30"/>
        <v>424.40697819444176</v>
      </c>
      <c r="AD18" s="129">
        <f t="shared" si="30"/>
        <v>79.380962183396377</v>
      </c>
      <c r="AE18" s="129">
        <f t="shared" si="30"/>
        <v>680.45680032722521</v>
      </c>
      <c r="AG18" s="248">
        <f t="shared" si="31"/>
        <v>175.4366666666667</v>
      </c>
      <c r="AH18" s="248">
        <f t="shared" si="31"/>
        <v>213.27200000000002</v>
      </c>
      <c r="AI18" s="248">
        <f t="shared" si="31"/>
        <v>196.49</v>
      </c>
      <c r="AJ18" s="51"/>
      <c r="AK18" s="123">
        <f t="shared" si="32"/>
        <v>30994.195893320662</v>
      </c>
      <c r="AL18" s="123">
        <f t="shared" si="32"/>
        <v>90514.125053484997</v>
      </c>
      <c r="AM18" s="123">
        <f t="shared" si="32"/>
        <v>15597.565259415554</v>
      </c>
      <c r="AN18" s="125">
        <f t="shared" si="33"/>
        <v>137105.88620622121</v>
      </c>
      <c r="AO18" s="86"/>
      <c r="AP18" s="240">
        <f t="shared" si="10"/>
        <v>341.01928379669738</v>
      </c>
      <c r="AQ18" s="240">
        <f t="shared" si="10"/>
        <v>707.45789228250908</v>
      </c>
      <c r="AR18" s="240">
        <f t="shared" si="11"/>
        <v>288.35979891693239</v>
      </c>
      <c r="AS18" s="231">
        <f t="shared" si="12"/>
        <v>1336.8369749961389</v>
      </c>
      <c r="AU18" s="219">
        <f t="shared" si="13"/>
        <v>1.2491548857021881</v>
      </c>
      <c r="AV18" s="219">
        <f t="shared" si="13"/>
        <v>0.46727733968461632</v>
      </c>
      <c r="AW18" s="219">
        <f t="shared" si="13"/>
        <v>0.96441404320044277</v>
      </c>
      <c r="AY18" s="219">
        <v>147.87979041622401</v>
      </c>
      <c r="AZ18" s="219">
        <v>346.15642689572292</v>
      </c>
      <c r="BA18" s="219">
        <v>188.74983954643406</v>
      </c>
      <c r="BD18" s="221">
        <f t="shared" si="14"/>
        <v>50429.860215746427</v>
      </c>
      <c r="BE18" s="221">
        <f t="shared" si="14"/>
        <v>244891.09617169257</v>
      </c>
      <c r="BF18" s="221">
        <f t="shared" si="14"/>
        <v>54427.865777212981</v>
      </c>
      <c r="BG18" s="118">
        <f t="shared" si="15"/>
        <v>349748.82216465194</v>
      </c>
      <c r="BH18" s="5"/>
      <c r="BI18" s="349">
        <f t="shared" si="16"/>
        <v>0.60201620456890181</v>
      </c>
      <c r="BJ18" s="349">
        <f t="shared" si="17"/>
        <v>0.18695568962223733</v>
      </c>
      <c r="BK18" s="349">
        <f t="shared" si="18"/>
        <v>0.69892587536299666</v>
      </c>
      <c r="BL18" s="349">
        <f t="shared" si="19"/>
        <v>0.31465971940024628</v>
      </c>
      <c r="BM18" s="5"/>
      <c r="BN18" s="240">
        <f t="shared" si="20"/>
        <v>614.01928379669744</v>
      </c>
      <c r="BO18" s="240">
        <f t="shared" si="21"/>
        <v>2221.457892282509</v>
      </c>
      <c r="BP18" s="240">
        <f t="shared" si="22"/>
        <v>587.35979891693239</v>
      </c>
      <c r="BQ18" s="108">
        <f t="shared" si="1"/>
        <v>3422.8369749961389</v>
      </c>
      <c r="BS18" s="138">
        <f t="shared" si="23"/>
        <v>160.13189293954107</v>
      </c>
      <c r="BT18" s="138">
        <f t="shared" si="24"/>
        <v>255.59111705165094</v>
      </c>
      <c r="BU18" s="138">
        <f t="shared" si="25"/>
        <v>192.690027451503</v>
      </c>
      <c r="BV18" s="138">
        <f t="shared" si="26"/>
        <v>227.67293793346118</v>
      </c>
      <c r="BX18" s="171">
        <f t="shared" si="2"/>
        <v>360.1614293617086</v>
      </c>
      <c r="BY18" s="171">
        <f t="shared" si="3"/>
        <v>375.02305427456577</v>
      </c>
      <c r="BZ18" s="171">
        <f t="shared" si="4"/>
        <v>378.52299591041134</v>
      </c>
      <c r="CA18" s="171">
        <f t="shared" si="5"/>
        <v>373.57974600414764</v>
      </c>
      <c r="CC18" s="221">
        <f t="shared" si="27"/>
        <v>98324.07021574644</v>
      </c>
      <c r="CD18" s="221">
        <f t="shared" si="28"/>
        <v>567784.90417169256</v>
      </c>
      <c r="CE18" s="221">
        <f t="shared" si="29"/>
        <v>113178.37577721299</v>
      </c>
      <c r="CF18" s="131">
        <f t="shared" si="34"/>
        <v>779287.35016465199</v>
      </c>
    </row>
    <row r="19" spans="1:84">
      <c r="A19" s="1">
        <v>5</v>
      </c>
      <c r="B19" s="14" t="s">
        <v>359</v>
      </c>
      <c r="C19" s="5" t="s">
        <v>163</v>
      </c>
      <c r="D19" s="38" t="s">
        <v>483</v>
      </c>
      <c r="G19" s="86">
        <v>197.82570688946015</v>
      </c>
      <c r="H19" s="86">
        <v>685.91208771434367</v>
      </c>
      <c r="I19" s="86">
        <v>216.02648296594066</v>
      </c>
      <c r="J19" s="332">
        <f t="shared" si="6"/>
        <v>1099.7642775697445</v>
      </c>
      <c r="K19" s="129"/>
      <c r="L19" s="87">
        <v>240.37777777777779</v>
      </c>
      <c r="M19" s="87">
        <v>304.6033333333333</v>
      </c>
      <c r="N19" s="87">
        <v>310</v>
      </c>
      <c r="O19" s="51"/>
      <c r="P19" s="130">
        <f t="shared" si="7"/>
        <v>47552.90380940646</v>
      </c>
      <c r="Q19" s="130">
        <f t="shared" si="8"/>
        <v>208931.10829141477</v>
      </c>
      <c r="R19" s="130">
        <f t="shared" si="9"/>
        <v>66968.209719441598</v>
      </c>
      <c r="S19" s="130">
        <f t="shared" si="0"/>
        <v>323452.22182026284</v>
      </c>
      <c r="T19" s="14" t="s">
        <v>306</v>
      </c>
      <c r="U19" s="5" t="s">
        <v>402</v>
      </c>
      <c r="V19" s="38" t="s">
        <v>483</v>
      </c>
      <c r="W19" s="191">
        <v>326.13345886439072</v>
      </c>
      <c r="X19" s="191">
        <v>882.49936485751607</v>
      </c>
      <c r="Y19" s="191">
        <v>273.37895813293551</v>
      </c>
      <c r="Z19" s="191">
        <v>1481.5985400232112</v>
      </c>
      <c r="AA19" s="51"/>
      <c r="AB19" s="129">
        <f t="shared" si="30"/>
        <v>128.30775197493057</v>
      </c>
      <c r="AC19" s="129">
        <f t="shared" si="30"/>
        <v>196.5872771431724</v>
      </c>
      <c r="AD19" s="129">
        <f t="shared" si="30"/>
        <v>57.35247516699485</v>
      </c>
      <c r="AE19" s="129">
        <f t="shared" si="30"/>
        <v>381.83426245346664</v>
      </c>
      <c r="AG19" s="248">
        <f t="shared" si="31"/>
        <v>240.37777777777779</v>
      </c>
      <c r="AH19" s="248">
        <f t="shared" si="31"/>
        <v>304.6033333333333</v>
      </c>
      <c r="AI19" s="248">
        <f t="shared" si="31"/>
        <v>310</v>
      </c>
      <c r="AJ19" s="51"/>
      <c r="AK19" s="123">
        <f t="shared" si="32"/>
        <v>30842.332291396091</v>
      </c>
      <c r="AL19" s="123">
        <f t="shared" si="32"/>
        <v>59881.13990873412</v>
      </c>
      <c r="AM19" s="123">
        <f t="shared" si="32"/>
        <v>17779.267301768403</v>
      </c>
      <c r="AN19" s="125">
        <f t="shared" si="33"/>
        <v>108502.73950189861</v>
      </c>
      <c r="AO19" s="92"/>
      <c r="AP19" s="240">
        <f t="shared" si="10"/>
        <v>247.11494827845817</v>
      </c>
      <c r="AQ19" s="240">
        <f t="shared" si="10"/>
        <v>320.51117560467964</v>
      </c>
      <c r="AR19" s="240">
        <f t="shared" si="11"/>
        <v>208.33897387555439</v>
      </c>
      <c r="AS19" s="231">
        <f t="shared" si="12"/>
        <v>775.9650977586922</v>
      </c>
      <c r="AU19" s="219">
        <f t="shared" si="13"/>
        <v>1.2491548857021881</v>
      </c>
      <c r="AV19" s="219">
        <f t="shared" si="13"/>
        <v>0.46727733968461621</v>
      </c>
      <c r="AW19" s="219">
        <f t="shared" si="13"/>
        <v>0.96441404320044266</v>
      </c>
      <c r="AY19" s="219">
        <v>147.87979041622401</v>
      </c>
      <c r="AZ19" s="219">
        <v>346.15642689572292</v>
      </c>
      <c r="BA19" s="219">
        <v>188.74983954643406</v>
      </c>
      <c r="BD19" s="221">
        <f t="shared" si="14"/>
        <v>36543.30676013443</v>
      </c>
      <c r="BE19" s="221">
        <f t="shared" si="14"/>
        <v>110947.00332746349</v>
      </c>
      <c r="BF19" s="221">
        <f t="shared" si="14"/>
        <v>39323.947890279611</v>
      </c>
      <c r="BG19" s="118">
        <f t="shared" si="15"/>
        <v>186814.25797787754</v>
      </c>
      <c r="BH19" s="5"/>
      <c r="BI19" s="349">
        <f t="shared" si="16"/>
        <v>0.60056500326276585</v>
      </c>
      <c r="BJ19" s="349">
        <f t="shared" si="17"/>
        <v>0.18067023556102838</v>
      </c>
      <c r="BK19" s="349">
        <f t="shared" si="18"/>
        <v>0.69892587536299655</v>
      </c>
      <c r="BL19" s="349">
        <f t="shared" si="19"/>
        <v>0.3583775572126916</v>
      </c>
      <c r="BM19" s="5"/>
      <c r="BN19" s="240">
        <f t="shared" si="20"/>
        <v>444.94065516791829</v>
      </c>
      <c r="BO19" s="240">
        <f t="shared" si="21"/>
        <v>1006.4232633190234</v>
      </c>
      <c r="BP19" s="240">
        <f t="shared" si="22"/>
        <v>424.36545684149507</v>
      </c>
      <c r="BQ19" s="108">
        <f t="shared" si="1"/>
        <v>1875.7293753284366</v>
      </c>
      <c r="BS19" s="138">
        <f t="shared" si="23"/>
        <v>189.00545408196831</v>
      </c>
      <c r="BT19" s="138">
        <f t="shared" si="24"/>
        <v>317.83656367796118</v>
      </c>
      <c r="BU19" s="138">
        <f t="shared" si="25"/>
        <v>250.47316150763524</v>
      </c>
      <c r="BV19" s="138">
        <f t="shared" si="26"/>
        <v>272.03630039050472</v>
      </c>
      <c r="BX19" s="171">
        <f t="shared" si="2"/>
        <v>425.10254047281961</v>
      </c>
      <c r="BY19" s="171">
        <f t="shared" si="3"/>
        <v>466.35438760789901</v>
      </c>
      <c r="BZ19" s="171">
        <f t="shared" si="4"/>
        <v>492.03299591041127</v>
      </c>
      <c r="CA19" s="171">
        <f t="shared" si="5"/>
        <v>463.97804530051252</v>
      </c>
      <c r="CC19" s="221">
        <f t="shared" si="27"/>
        <v>84096.210569540883</v>
      </c>
      <c r="CD19" s="221">
        <f t="shared" si="28"/>
        <v>319878.11161887826</v>
      </c>
      <c r="CE19" s="221">
        <f t="shared" si="29"/>
        <v>106292.15760972121</v>
      </c>
      <c r="CF19" s="131">
        <f t="shared" si="34"/>
        <v>510266.47979814035</v>
      </c>
    </row>
    <row r="20" spans="1:84">
      <c r="A20" s="1">
        <v>6</v>
      </c>
      <c r="B20" s="14" t="s">
        <v>314</v>
      </c>
      <c r="C20" s="5" t="s">
        <v>324</v>
      </c>
      <c r="D20" s="38" t="s">
        <v>496</v>
      </c>
      <c r="G20" s="86">
        <v>8.0144387200686378</v>
      </c>
      <c r="H20" s="86">
        <v>254.68015419186904</v>
      </c>
      <c r="I20" s="86">
        <v>384.67464745420693</v>
      </c>
      <c r="J20" s="332">
        <f t="shared" si="6"/>
        <v>647.3692403661446</v>
      </c>
      <c r="K20" s="129"/>
      <c r="L20" s="87">
        <v>170.36926315789475</v>
      </c>
      <c r="M20" s="87">
        <v>204.88916202343211</v>
      </c>
      <c r="N20" s="87">
        <v>640</v>
      </c>
      <c r="O20" s="51"/>
      <c r="P20" s="130">
        <f t="shared" si="7"/>
        <v>1365.4140193621949</v>
      </c>
      <c r="Q20" s="130">
        <f t="shared" si="8"/>
        <v>52181.203376370526</v>
      </c>
      <c r="R20" s="130">
        <f t="shared" si="9"/>
        <v>246191.77437069244</v>
      </c>
      <c r="S20" s="130">
        <f t="shared" si="0"/>
        <v>299738.39176642516</v>
      </c>
      <c r="T20" s="14" t="s">
        <v>149</v>
      </c>
      <c r="U20" s="5" t="s">
        <v>155</v>
      </c>
      <c r="V20" s="38" t="s">
        <v>156</v>
      </c>
      <c r="W20" s="191">
        <v>13.200892023397401</v>
      </c>
      <c r="X20" s="191">
        <v>334.94565559160827</v>
      </c>
      <c r="Y20" s="191">
        <v>486.80121482033985</v>
      </c>
      <c r="Z20" s="191">
        <v>834.94776243534545</v>
      </c>
      <c r="AA20" s="51"/>
      <c r="AB20" s="129">
        <f t="shared" si="30"/>
        <v>5.1864533033287632</v>
      </c>
      <c r="AC20" s="129">
        <f t="shared" si="30"/>
        <v>80.265501399739236</v>
      </c>
      <c r="AD20" s="129">
        <f t="shared" si="30"/>
        <v>102.12656736613292</v>
      </c>
      <c r="AE20" s="129">
        <f t="shared" si="30"/>
        <v>187.57852206920086</v>
      </c>
      <c r="AG20" s="248">
        <f t="shared" si="31"/>
        <v>170.36926315789475</v>
      </c>
      <c r="AH20" s="248">
        <f t="shared" si="31"/>
        <v>204.88916202343211</v>
      </c>
      <c r="AI20" s="248">
        <f t="shared" si="31"/>
        <v>640</v>
      </c>
      <c r="AJ20" s="51"/>
      <c r="AK20" s="123">
        <f t="shared" si="32"/>
        <v>883.61222769095059</v>
      </c>
      <c r="AL20" s="123">
        <f t="shared" si="32"/>
        <v>16445.531321183189</v>
      </c>
      <c r="AM20" s="123">
        <f t="shared" si="32"/>
        <v>65361.003114325067</v>
      </c>
      <c r="AN20" s="125">
        <f t="shared" si="33"/>
        <v>82690.146663199208</v>
      </c>
      <c r="AO20" s="86"/>
      <c r="AP20" s="240">
        <f t="shared" si="10"/>
        <v>10.01127528333453</v>
      </c>
      <c r="AQ20" s="240">
        <f t="shared" si="10"/>
        <v>119.00626492124444</v>
      </c>
      <c r="AR20" s="240">
        <f t="shared" si="11"/>
        <v>370.98563206801657</v>
      </c>
      <c r="AS20" s="231">
        <f t="shared" si="12"/>
        <v>500.00317227259552</v>
      </c>
      <c r="AU20" s="219">
        <f t="shared" si="13"/>
        <v>1.2491548857021881</v>
      </c>
      <c r="AV20" s="219">
        <f t="shared" si="13"/>
        <v>0.46727733968461627</v>
      </c>
      <c r="AW20" s="219">
        <f t="shared" si="13"/>
        <v>0.96441404320044266</v>
      </c>
      <c r="AY20" s="219">
        <v>147.87979041622401</v>
      </c>
      <c r="AZ20" s="219">
        <v>346.15642689572292</v>
      </c>
      <c r="BA20" s="219">
        <v>188.74983954643406</v>
      </c>
      <c r="BD20" s="221">
        <f t="shared" si="14"/>
        <v>1480.4652906986339</v>
      </c>
      <c r="BE20" s="221">
        <f t="shared" si="14"/>
        <v>41194.783443343782</v>
      </c>
      <c r="BF20" s="221">
        <f t="shared" si="14"/>
        <v>70023.478526870545</v>
      </c>
      <c r="BG20" s="118">
        <f t="shared" si="15"/>
        <v>112698.72726091296</v>
      </c>
      <c r="BH20" s="5"/>
      <c r="BI20" s="349">
        <f t="shared" si="16"/>
        <v>0.60201620456890159</v>
      </c>
      <c r="BJ20" s="349">
        <f t="shared" si="17"/>
        <v>0.15211536071365409</v>
      </c>
      <c r="BK20" s="349">
        <f t="shared" si="18"/>
        <v>0.69892587536299655</v>
      </c>
      <c r="BL20" s="349">
        <f t="shared" si="19"/>
        <v>0.48260657245112676</v>
      </c>
      <c r="BM20" s="5"/>
      <c r="BN20" s="240">
        <f t="shared" si="20"/>
        <v>18.025714003403166</v>
      </c>
      <c r="BO20" s="240">
        <f t="shared" si="21"/>
        <v>373.68641911311346</v>
      </c>
      <c r="BP20" s="240">
        <f t="shared" si="22"/>
        <v>755.6602795222235</v>
      </c>
      <c r="BQ20" s="108">
        <f t="shared" si="1"/>
        <v>1147.3724126387401</v>
      </c>
      <c r="BS20" s="138">
        <f t="shared" si="23"/>
        <v>157.87886735158125</v>
      </c>
      <c r="BT20" s="138">
        <f t="shared" si="24"/>
        <v>249.87792449435995</v>
      </c>
      <c r="BU20" s="138">
        <f t="shared" si="25"/>
        <v>418.46218660254891</v>
      </c>
      <c r="BV20" s="138">
        <f t="shared" si="26"/>
        <v>359.46229357110872</v>
      </c>
      <c r="BX20" s="171">
        <f t="shared" si="2"/>
        <v>355.09402585293662</v>
      </c>
      <c r="BY20" s="171">
        <f t="shared" si="3"/>
        <v>366.64021629799782</v>
      </c>
      <c r="BZ20" s="171">
        <f t="shared" si="4"/>
        <v>822.03299591041127</v>
      </c>
      <c r="CA20" s="171">
        <f t="shared" si="5"/>
        <v>637.09718242724728</v>
      </c>
      <c r="CC20" s="221">
        <f t="shared" si="27"/>
        <v>2845.8793100608291</v>
      </c>
      <c r="CD20" s="221">
        <f t="shared" si="28"/>
        <v>93375.986819714308</v>
      </c>
      <c r="CE20" s="221">
        <f t="shared" si="29"/>
        <v>316215.25289756298</v>
      </c>
      <c r="CF20" s="131">
        <f t="shared" si="34"/>
        <v>412437.11902733811</v>
      </c>
    </row>
    <row r="21" spans="1:84">
      <c r="A21" s="1">
        <v>7</v>
      </c>
      <c r="B21" s="14" t="s">
        <v>490</v>
      </c>
      <c r="C21" s="5" t="s">
        <v>491</v>
      </c>
      <c r="D21" s="38" t="s">
        <v>247</v>
      </c>
      <c r="G21" s="86">
        <v>164</v>
      </c>
      <c r="H21" s="86">
        <v>860</v>
      </c>
      <c r="I21" s="86">
        <v>138</v>
      </c>
      <c r="J21" s="332">
        <f t="shared" si="6"/>
        <v>1162</v>
      </c>
      <c r="K21" s="129"/>
      <c r="L21" s="87">
        <v>125.36571428571428</v>
      </c>
      <c r="M21" s="87">
        <v>157.16200000000001</v>
      </c>
      <c r="N21" s="87">
        <v>179.68</v>
      </c>
      <c r="O21" s="51"/>
      <c r="P21" s="130">
        <f t="shared" si="7"/>
        <v>20559.97714285714</v>
      </c>
      <c r="Q21" s="130">
        <f t="shared" si="8"/>
        <v>135159.32</v>
      </c>
      <c r="R21" s="130">
        <f t="shared" si="9"/>
        <v>24795.84</v>
      </c>
      <c r="S21" s="130">
        <f t="shared" si="0"/>
        <v>180515.13714285716</v>
      </c>
      <c r="T21" s="14" t="s">
        <v>51</v>
      </c>
      <c r="U21" s="5" t="s">
        <v>52</v>
      </c>
      <c r="V21" s="38" t="s">
        <v>53</v>
      </c>
      <c r="W21" s="191">
        <v>711.72801376061216</v>
      </c>
      <c r="X21" s="191">
        <v>1899.5727444877259</v>
      </c>
      <c r="Y21" s="191">
        <v>1843.2220611182631</v>
      </c>
      <c r="Z21" s="191">
        <v>4454.5228193666007</v>
      </c>
      <c r="AA21" s="51"/>
      <c r="AB21" s="129">
        <f t="shared" si="30"/>
        <v>547.72801376061216</v>
      </c>
      <c r="AC21" s="129">
        <f t="shared" si="30"/>
        <v>1039.5727444877259</v>
      </c>
      <c r="AD21" s="129">
        <f t="shared" si="30"/>
        <v>1705.2220611182631</v>
      </c>
      <c r="AE21" s="129">
        <f t="shared" si="30"/>
        <v>3292.5228193666007</v>
      </c>
      <c r="AG21" s="248">
        <f t="shared" si="31"/>
        <v>125.36571428571428</v>
      </c>
      <c r="AH21" s="248">
        <f t="shared" si="31"/>
        <v>157.16200000000001</v>
      </c>
      <c r="AI21" s="248">
        <f t="shared" si="31"/>
        <v>179.68</v>
      </c>
      <c r="AJ21" s="51"/>
      <c r="AK21" s="123">
        <f t="shared" si="32"/>
        <v>68666.313679394676</v>
      </c>
      <c r="AL21" s="123">
        <f t="shared" si="32"/>
        <v>163381.33166917998</v>
      </c>
      <c r="AM21" s="123">
        <f t="shared" si="32"/>
        <v>306394.29994172952</v>
      </c>
      <c r="AN21" s="125">
        <f t="shared" si="33"/>
        <v>538441.94529030425</v>
      </c>
      <c r="AO21" s="86"/>
      <c r="AP21" s="240">
        <f t="shared" si="10"/>
        <v>204.86140125515885</v>
      </c>
      <c r="AQ21" s="240">
        <f t="shared" si="10"/>
        <v>401.85851212876997</v>
      </c>
      <c r="AR21" s="240">
        <f t="shared" si="11"/>
        <v>133.08913796166109</v>
      </c>
      <c r="AS21" s="231">
        <f t="shared" si="12"/>
        <v>739.80905134558986</v>
      </c>
      <c r="AU21" s="219">
        <f t="shared" si="13"/>
        <v>1.2491548857021881</v>
      </c>
      <c r="AV21" s="219">
        <f t="shared" si="13"/>
        <v>0.46727733968461627</v>
      </c>
      <c r="AW21" s="219">
        <f t="shared" si="13"/>
        <v>0.96441404320044266</v>
      </c>
      <c r="AY21" s="219">
        <v>147.87979041622401</v>
      </c>
      <c r="AZ21" s="219">
        <v>346.15642689572292</v>
      </c>
      <c r="BA21" s="219">
        <v>188.74983954643406</v>
      </c>
      <c r="BD21" s="221">
        <f t="shared" si="14"/>
        <v>30294.861081986863</v>
      </c>
      <c r="BE21" s="221">
        <f t="shared" si="14"/>
        <v>139105.90667612656</v>
      </c>
      <c r="BF21" s="221">
        <f t="shared" si="14"/>
        <v>25120.553435636757</v>
      </c>
      <c r="BG21" s="118">
        <f t="shared" si="15"/>
        <v>194521.32119375019</v>
      </c>
      <c r="BH21" s="5"/>
      <c r="BI21" s="349">
        <f t="shared" si="16"/>
        <v>-2.0906500762527642</v>
      </c>
      <c r="BJ21" s="349">
        <f t="shared" si="17"/>
        <v>-0.74152817716157671</v>
      </c>
      <c r="BK21" s="349">
        <f t="shared" si="18"/>
        <v>-11.392267559105811</v>
      </c>
      <c r="BL21" s="349">
        <f t="shared" si="19"/>
        <v>-2.1968276833227289</v>
      </c>
      <c r="BM21" s="5"/>
      <c r="BN21" s="240">
        <f t="shared" si="20"/>
        <v>368.86140125515885</v>
      </c>
      <c r="BO21" s="240">
        <f t="shared" si="21"/>
        <v>1261.8585121287699</v>
      </c>
      <c r="BP21" s="240">
        <f t="shared" si="22"/>
        <v>271.08913796166109</v>
      </c>
      <c r="BQ21" s="108">
        <f t="shared" si="1"/>
        <v>1901.80905134559</v>
      </c>
      <c r="BS21" s="138">
        <f t="shared" si="23"/>
        <v>137.86977453264433</v>
      </c>
      <c r="BT21" s="138">
        <f t="shared" si="24"/>
        <v>217.35022115390575</v>
      </c>
      <c r="BU21" s="138">
        <f t="shared" si="25"/>
        <v>184.13276832469845</v>
      </c>
      <c r="BV21" s="138">
        <f t="shared" si="26"/>
        <v>197.19984930729888</v>
      </c>
      <c r="BX21" s="171">
        <f t="shared" si="2"/>
        <v>310.09047698075614</v>
      </c>
      <c r="BY21" s="171">
        <f t="shared" si="3"/>
        <v>318.91305427456581</v>
      </c>
      <c r="BZ21" s="171">
        <f t="shared" si="4"/>
        <v>361.71299591041128</v>
      </c>
      <c r="CA21" s="171">
        <f t="shared" si="5"/>
        <v>322.75082473029897</v>
      </c>
      <c r="CC21" s="221">
        <f t="shared" si="27"/>
        <v>50854.838224844003</v>
      </c>
      <c r="CD21" s="221">
        <f t="shared" si="28"/>
        <v>274265.22667612659</v>
      </c>
      <c r="CE21" s="221">
        <f t="shared" si="29"/>
        <v>49916.393435636754</v>
      </c>
      <c r="CF21" s="131">
        <f t="shared" si="34"/>
        <v>375036.45833660738</v>
      </c>
    </row>
    <row r="22" spans="1:84">
      <c r="A22" s="1">
        <v>8</v>
      </c>
      <c r="B22" s="14"/>
      <c r="C22" s="5" t="s">
        <v>248</v>
      </c>
      <c r="D22" s="38" t="s">
        <v>171</v>
      </c>
      <c r="G22" s="86">
        <v>40.591306041131133</v>
      </c>
      <c r="H22" s="86">
        <v>235.94180362566135</v>
      </c>
      <c r="I22" s="86">
        <v>88.064721726642944</v>
      </c>
      <c r="J22" s="332">
        <f t="shared" si="6"/>
        <v>364.5978313934354</v>
      </c>
      <c r="K22" s="129"/>
      <c r="L22" s="87">
        <v>54.97</v>
      </c>
      <c r="M22" s="87">
        <v>59.94</v>
      </c>
      <c r="N22" s="87">
        <v>59.94</v>
      </c>
      <c r="O22" s="51"/>
      <c r="P22" s="130">
        <f t="shared" si="7"/>
        <v>2231.3040930809784</v>
      </c>
      <c r="Q22" s="130">
        <f t="shared" si="8"/>
        <v>14142.351709322142</v>
      </c>
      <c r="R22" s="130">
        <f t="shared" si="9"/>
        <v>5278.5994202949778</v>
      </c>
      <c r="S22" s="130">
        <f t="shared" si="0"/>
        <v>21652.255222698099</v>
      </c>
      <c r="T22" s="14"/>
      <c r="U22" s="5" t="s">
        <v>523</v>
      </c>
      <c r="V22" s="38" t="s">
        <v>178</v>
      </c>
      <c r="W22" s="191">
        <v>320.91598953793118</v>
      </c>
      <c r="X22" s="191">
        <v>661.2915892030976</v>
      </c>
      <c r="Y22" s="191">
        <v>646.43585888154973</v>
      </c>
      <c r="Z22" s="191">
        <v>1627.8955185969853</v>
      </c>
      <c r="AA22" s="51"/>
      <c r="AB22" s="129">
        <f t="shared" si="30"/>
        <v>280.32468349680005</v>
      </c>
      <c r="AC22" s="129">
        <f t="shared" si="30"/>
        <v>425.34978557743625</v>
      </c>
      <c r="AD22" s="129">
        <f t="shared" si="30"/>
        <v>558.37113715490682</v>
      </c>
      <c r="AE22" s="129">
        <f t="shared" si="30"/>
        <v>1263.2976872035499</v>
      </c>
      <c r="AG22" s="248">
        <f t="shared" si="31"/>
        <v>54.97</v>
      </c>
      <c r="AH22" s="248">
        <f t="shared" si="31"/>
        <v>59.94</v>
      </c>
      <c r="AI22" s="248">
        <f t="shared" si="31"/>
        <v>59.94</v>
      </c>
      <c r="AJ22" s="51"/>
      <c r="AK22" s="123">
        <f t="shared" si="32"/>
        <v>15409.447851819099</v>
      </c>
      <c r="AL22" s="123">
        <f t="shared" si="32"/>
        <v>25495.466147511528</v>
      </c>
      <c r="AM22" s="123">
        <f t="shared" si="32"/>
        <v>33468.76596106511</v>
      </c>
      <c r="AN22" s="125">
        <f t="shared" si="33"/>
        <v>74373.679960395733</v>
      </c>
      <c r="AO22" s="92"/>
      <c r="AS22" s="231">
        <f t="shared" si="12"/>
        <v>0</v>
      </c>
      <c r="AU22" s="228"/>
      <c r="AV22" s="228"/>
      <c r="AW22" s="228"/>
      <c r="AY22" s="1"/>
      <c r="AZ22" s="1"/>
      <c r="BA22" s="1"/>
      <c r="BD22" s="1"/>
      <c r="BE22" s="1"/>
      <c r="BF22" s="1"/>
      <c r="BG22" s="1"/>
      <c r="BH22" s="5"/>
      <c r="BI22" s="349">
        <f t="shared" si="16"/>
        <v>-6.9060276900858355</v>
      </c>
      <c r="BJ22" s="349">
        <f t="shared" si="17"/>
        <v>-1.8027741546482552</v>
      </c>
      <c r="BK22" s="349">
        <f t="shared" si="18"/>
        <v>-6.3404633116098088</v>
      </c>
      <c r="BL22" s="349">
        <f t="shared" si="19"/>
        <v>-3.4649072990243126</v>
      </c>
      <c r="BM22" s="5"/>
      <c r="BN22" s="240">
        <f t="shared" si="20"/>
        <v>40.591306041131133</v>
      </c>
      <c r="BO22" s="240">
        <f t="shared" si="21"/>
        <v>235.94180362566135</v>
      </c>
      <c r="BP22" s="240">
        <f t="shared" si="22"/>
        <v>88.064721726642944</v>
      </c>
      <c r="BQ22" s="108">
        <f t="shared" si="1"/>
        <v>364.5978313934354</v>
      </c>
      <c r="BS22" s="138">
        <f t="shared" si="23"/>
        <v>54.97</v>
      </c>
      <c r="BT22" s="138">
        <f t="shared" si="24"/>
        <v>59.940000000000005</v>
      </c>
      <c r="BU22" s="138">
        <f t="shared" si="25"/>
        <v>59.94</v>
      </c>
      <c r="BV22" s="138">
        <f t="shared" si="26"/>
        <v>59.386681319377558</v>
      </c>
      <c r="BX22" s="171">
        <f t="shared" si="2"/>
        <v>54.97</v>
      </c>
      <c r="BY22" s="171">
        <f t="shared" si="3"/>
        <v>59.940000000000005</v>
      </c>
      <c r="BZ22" s="171">
        <f t="shared" si="4"/>
        <v>59.94</v>
      </c>
      <c r="CA22" s="171">
        <f t="shared" si="5"/>
        <v>59.386681319377558</v>
      </c>
      <c r="CC22" s="221">
        <f t="shared" si="27"/>
        <v>2231.3040930809784</v>
      </c>
      <c r="CD22" s="221">
        <f t="shared" si="28"/>
        <v>14142.351709322142</v>
      </c>
      <c r="CE22" s="221">
        <f t="shared" si="29"/>
        <v>5278.5994202949778</v>
      </c>
      <c r="CF22" s="131">
        <f t="shared" si="34"/>
        <v>21652.255222698099</v>
      </c>
    </row>
    <row r="23" spans="1:84">
      <c r="A23" s="1">
        <v>9</v>
      </c>
      <c r="B23" s="14"/>
      <c r="C23" s="38" t="s">
        <v>148</v>
      </c>
      <c r="D23" s="37" t="s">
        <v>255</v>
      </c>
      <c r="G23" s="86">
        <v>104.9526829691517</v>
      </c>
      <c r="H23" s="86">
        <v>1139.8754213249404</v>
      </c>
      <c r="I23" s="86">
        <v>563.64255215446599</v>
      </c>
      <c r="J23" s="332">
        <f t="shared" si="6"/>
        <v>1808.4706564485582</v>
      </c>
      <c r="K23" s="129"/>
      <c r="L23" s="87">
        <v>125.36571428571428</v>
      </c>
      <c r="M23" s="87">
        <v>157.16200000000001</v>
      </c>
      <c r="N23" s="87">
        <v>179.68</v>
      </c>
      <c r="O23" s="51"/>
      <c r="P23" s="130">
        <f t="shared" si="7"/>
        <v>13157.468066629823</v>
      </c>
      <c r="Q23" s="130">
        <f t="shared" si="8"/>
        <v>179145.10096627029</v>
      </c>
      <c r="R23" s="130">
        <f t="shared" si="9"/>
        <v>101275.29377111445</v>
      </c>
      <c r="S23" s="130">
        <f t="shared" si="0"/>
        <v>293577.86280401453</v>
      </c>
      <c r="T23" s="14"/>
      <c r="U23" s="38" t="s">
        <v>179</v>
      </c>
      <c r="V23" s="37" t="s">
        <v>444</v>
      </c>
      <c r="W23" s="191">
        <v>104.9526829691517</v>
      </c>
      <c r="X23" s="191">
        <v>1139.8754213249404</v>
      </c>
      <c r="Y23" s="191">
        <v>563.64255215446599</v>
      </c>
      <c r="Z23" s="191">
        <v>1808.4706564485582</v>
      </c>
      <c r="AA23" s="51"/>
      <c r="AB23" s="129"/>
      <c r="AC23" s="129"/>
      <c r="AD23" s="129"/>
      <c r="AE23" s="129"/>
      <c r="AG23" s="51"/>
      <c r="AH23" s="51"/>
      <c r="AI23" s="51"/>
      <c r="AJ23" s="51"/>
      <c r="AK23" s="123"/>
      <c r="AL23" s="123"/>
      <c r="AM23" s="123"/>
      <c r="AN23" s="125"/>
      <c r="AO23" s="86"/>
      <c r="AS23" s="231">
        <f t="shared" si="12"/>
        <v>0</v>
      </c>
      <c r="AU23" s="228"/>
      <c r="AV23" s="228"/>
      <c r="AW23" s="228"/>
      <c r="AY23" s="1"/>
      <c r="AZ23" s="1"/>
      <c r="BA23" s="1"/>
      <c r="BD23" s="1"/>
      <c r="BE23" s="1"/>
      <c r="BF23" s="1"/>
      <c r="BG23" s="1"/>
      <c r="BH23" s="38"/>
      <c r="BI23" s="38"/>
      <c r="BJ23" s="38"/>
      <c r="BK23" s="38"/>
      <c r="BL23" s="38"/>
      <c r="BM23" s="38"/>
      <c r="BN23" s="240">
        <f t="shared" si="20"/>
        <v>104.9526829691517</v>
      </c>
      <c r="BO23" s="240">
        <f t="shared" si="21"/>
        <v>1139.8754213249404</v>
      </c>
      <c r="BP23" s="240">
        <f t="shared" si="22"/>
        <v>563.64255215446599</v>
      </c>
      <c r="BQ23" s="108">
        <f t="shared" si="1"/>
        <v>1808.4706564485582</v>
      </c>
      <c r="BS23" s="138">
        <f t="shared" si="23"/>
        <v>125.36571428571428</v>
      </c>
      <c r="BT23" s="138">
        <f t="shared" si="24"/>
        <v>157.16200000000001</v>
      </c>
      <c r="BU23" s="138">
        <f t="shared" si="25"/>
        <v>179.68</v>
      </c>
      <c r="BV23" s="138">
        <f t="shared" si="26"/>
        <v>162.33487768086732</v>
      </c>
      <c r="BX23" s="171">
        <f t="shared" si="2"/>
        <v>125.36571428571428</v>
      </c>
      <c r="BY23" s="171">
        <f t="shared" si="3"/>
        <v>157.16200000000001</v>
      </c>
      <c r="BZ23" s="171">
        <f t="shared" si="4"/>
        <v>179.68</v>
      </c>
      <c r="CA23" s="171">
        <f t="shared" si="5"/>
        <v>162.33487768086732</v>
      </c>
      <c r="CC23" s="221">
        <f t="shared" si="27"/>
        <v>13157.468066629823</v>
      </c>
      <c r="CD23" s="221">
        <f t="shared" si="28"/>
        <v>179145.10096627029</v>
      </c>
      <c r="CE23" s="221">
        <f t="shared" si="29"/>
        <v>101275.29377111445</v>
      </c>
      <c r="CF23" s="131">
        <f t="shared" si="34"/>
        <v>293577.86280401453</v>
      </c>
    </row>
    <row r="24" spans="1:84">
      <c r="A24" s="1">
        <v>10</v>
      </c>
      <c r="B24" s="14"/>
      <c r="C24" s="38" t="s">
        <v>89</v>
      </c>
      <c r="D24" s="37" t="s">
        <v>107</v>
      </c>
      <c r="G24" s="86">
        <v>69.082778663239068</v>
      </c>
      <c r="H24" s="86">
        <v>230.56324860782343</v>
      </c>
      <c r="I24" s="86">
        <v>193.24887502438833</v>
      </c>
      <c r="J24" s="332">
        <f t="shared" si="6"/>
        <v>492.89490229545083</v>
      </c>
      <c r="K24" s="129"/>
      <c r="L24" s="87">
        <v>125.36571428571428</v>
      </c>
      <c r="M24" s="87">
        <v>157.16200000000001</v>
      </c>
      <c r="N24" s="87">
        <v>179.68</v>
      </c>
      <c r="O24" s="51"/>
      <c r="P24" s="130">
        <f t="shared" si="7"/>
        <v>8660.611891958868</v>
      </c>
      <c r="Q24" s="130">
        <f t="shared" si="8"/>
        <v>36235.781277702743</v>
      </c>
      <c r="R24" s="130">
        <f t="shared" si="9"/>
        <v>34722.957864382093</v>
      </c>
      <c r="S24" s="130">
        <f t="shared" si="0"/>
        <v>79619.351034043706</v>
      </c>
      <c r="T24" s="14"/>
      <c r="U24" s="38" t="s">
        <v>121</v>
      </c>
      <c r="V24" s="37" t="s">
        <v>443</v>
      </c>
      <c r="W24" s="191">
        <v>69.082778663239068</v>
      </c>
      <c r="X24" s="191">
        <v>230.56324860782343</v>
      </c>
      <c r="Y24" s="191">
        <v>193.24887502438833</v>
      </c>
      <c r="Z24" s="191">
        <v>492.89490229545083</v>
      </c>
      <c r="AA24" s="51"/>
      <c r="AB24" s="129"/>
      <c r="AC24" s="129"/>
      <c r="AD24" s="129"/>
      <c r="AE24" s="129"/>
      <c r="AG24" s="51"/>
      <c r="AH24" s="51"/>
      <c r="AI24" s="51"/>
      <c r="AJ24" s="51"/>
      <c r="AK24" s="123"/>
      <c r="AL24" s="123"/>
      <c r="AM24" s="123"/>
      <c r="AN24" s="125"/>
      <c r="AO24" s="86"/>
      <c r="AS24" s="231">
        <f t="shared" si="12"/>
        <v>0</v>
      </c>
      <c r="AU24" s="228"/>
      <c r="AV24" s="228"/>
      <c r="AW24" s="228"/>
      <c r="AY24" s="1"/>
      <c r="AZ24" s="1"/>
      <c r="BA24" s="1"/>
      <c r="BD24" s="1"/>
      <c r="BE24" s="1"/>
      <c r="BF24" s="1"/>
      <c r="BG24" s="1"/>
      <c r="BH24" s="38"/>
      <c r="BI24" s="38"/>
      <c r="BJ24" s="38"/>
      <c r="BK24" s="38"/>
      <c r="BL24" s="38"/>
      <c r="BM24" s="38"/>
      <c r="BN24" s="240">
        <f t="shared" si="20"/>
        <v>69.082778663239068</v>
      </c>
      <c r="BO24" s="240">
        <f t="shared" si="21"/>
        <v>230.56324860782343</v>
      </c>
      <c r="BP24" s="240">
        <f t="shared" si="22"/>
        <v>193.24887502438833</v>
      </c>
      <c r="BQ24" s="108">
        <f t="shared" si="1"/>
        <v>492.89490229545083</v>
      </c>
      <c r="BS24" s="138">
        <f t="shared" si="23"/>
        <v>125.36571428571429</v>
      </c>
      <c r="BT24" s="138">
        <f t="shared" si="24"/>
        <v>157.16199999999998</v>
      </c>
      <c r="BU24" s="138">
        <f t="shared" si="25"/>
        <v>179.68</v>
      </c>
      <c r="BV24" s="138">
        <f t="shared" si="26"/>
        <v>161.53413367281757</v>
      </c>
      <c r="BX24" s="171">
        <f t="shared" si="2"/>
        <v>125.36571428571429</v>
      </c>
      <c r="BY24" s="171">
        <f t="shared" si="3"/>
        <v>157.16199999999998</v>
      </c>
      <c r="BZ24" s="171">
        <f t="shared" si="4"/>
        <v>179.68</v>
      </c>
      <c r="CA24" s="171">
        <f t="shared" si="5"/>
        <v>161.53413367281757</v>
      </c>
      <c r="CC24" s="221">
        <f t="shared" si="27"/>
        <v>8660.611891958868</v>
      </c>
      <c r="CD24" s="221">
        <f t="shared" si="28"/>
        <v>36235.781277702743</v>
      </c>
      <c r="CE24" s="221">
        <f t="shared" si="29"/>
        <v>34722.957864382093</v>
      </c>
      <c r="CF24" s="131">
        <f t="shared" si="34"/>
        <v>79619.351034043706</v>
      </c>
    </row>
    <row r="25" spans="1:84">
      <c r="A25" s="1">
        <v>11</v>
      </c>
      <c r="B25" s="14" t="s">
        <v>165</v>
      </c>
      <c r="C25" s="5" t="s">
        <v>257</v>
      </c>
      <c r="D25" s="38" t="s">
        <v>326</v>
      </c>
      <c r="G25" s="86">
        <v>700.99480761994664</v>
      </c>
      <c r="H25" s="86">
        <v>672.59682139033032</v>
      </c>
      <c r="I25" s="86"/>
      <c r="J25" s="332">
        <f t="shared" si="6"/>
        <v>1373.5916290102768</v>
      </c>
      <c r="K25" s="129"/>
      <c r="L25" s="87">
        <v>62.682857142857003</v>
      </c>
      <c r="M25" s="87">
        <v>78.581000000000003</v>
      </c>
      <c r="N25" s="87">
        <v>89.84</v>
      </c>
      <c r="O25" s="51"/>
      <c r="P25" s="130">
        <f>G25*L25</f>
        <v>43940.357383925642</v>
      </c>
      <c r="Q25" s="130">
        <f>H25*M25</f>
        <v>52853.330821673546</v>
      </c>
      <c r="R25" s="130"/>
      <c r="S25" s="130">
        <f t="shared" si="0"/>
        <v>96793.688205599188</v>
      </c>
      <c r="T25" s="14" t="s">
        <v>235</v>
      </c>
      <c r="U25" s="5" t="s">
        <v>147</v>
      </c>
      <c r="V25" s="38" t="s">
        <v>312</v>
      </c>
      <c r="W25" s="191">
        <v>700.99480761994664</v>
      </c>
      <c r="X25" s="191">
        <v>672.59682139033032</v>
      </c>
      <c r="Y25" s="191">
        <v>0</v>
      </c>
      <c r="Z25" s="191">
        <v>1373.5916290102768</v>
      </c>
      <c r="AA25" s="51"/>
      <c r="AB25" s="129"/>
      <c r="AC25" s="129"/>
      <c r="AD25" s="129"/>
      <c r="AE25" s="129"/>
      <c r="AG25" s="51"/>
      <c r="AH25" s="51"/>
      <c r="AI25" s="51"/>
      <c r="AJ25" s="51"/>
      <c r="AK25" s="123"/>
      <c r="AL25" s="123"/>
      <c r="AM25" s="123"/>
      <c r="AN25" s="125"/>
      <c r="AO25" s="86"/>
      <c r="AS25" s="231">
        <f t="shared" si="12"/>
        <v>0</v>
      </c>
      <c r="AU25" s="228"/>
      <c r="AV25" s="228"/>
      <c r="AW25" s="228"/>
      <c r="AY25" s="1"/>
      <c r="AZ25" s="1"/>
      <c r="BA25" s="1"/>
      <c r="BD25" s="1"/>
      <c r="BE25" s="1"/>
      <c r="BF25" s="1"/>
      <c r="BG25" s="1"/>
      <c r="BH25" s="5"/>
      <c r="BI25" s="5"/>
      <c r="BJ25" s="5"/>
      <c r="BK25" s="5"/>
      <c r="BL25" s="5"/>
      <c r="BM25" s="5"/>
      <c r="BN25" s="240">
        <f t="shared" si="20"/>
        <v>700.99480761994664</v>
      </c>
      <c r="BO25" s="240">
        <f t="shared" si="21"/>
        <v>672.59682139033032</v>
      </c>
      <c r="BP25" s="240">
        <f t="shared" si="22"/>
        <v>0</v>
      </c>
      <c r="BQ25" s="108">
        <f t="shared" si="1"/>
        <v>1373.5916290102768</v>
      </c>
      <c r="BS25" s="138">
        <f t="shared" si="23"/>
        <v>62.682857142857003</v>
      </c>
      <c r="BT25" s="138">
        <f t="shared" si="24"/>
        <v>78.581000000000003</v>
      </c>
      <c r="BU25" s="138"/>
      <c r="BV25" s="138">
        <f t="shared" si="26"/>
        <v>70.467587426506512</v>
      </c>
      <c r="BX25" s="171">
        <f>CC25/G25</f>
        <v>62.682857142857003</v>
      </c>
      <c r="BY25" s="171">
        <f>CD25/H25</f>
        <v>78.581000000000003</v>
      </c>
      <c r="BZ25" s="171"/>
      <c r="CA25" s="171">
        <f>CF25/J25</f>
        <v>70.467587426506512</v>
      </c>
      <c r="CC25" s="221">
        <f>P25+BD25</f>
        <v>43940.357383925642</v>
      </c>
      <c r="CD25" s="221">
        <f>Q25+BE25</f>
        <v>52853.330821673546</v>
      </c>
      <c r="CE25" s="221"/>
      <c r="CF25" s="131">
        <f t="shared" si="34"/>
        <v>96793.688205599188</v>
      </c>
    </row>
    <row r="26" spans="1:84">
      <c r="A26" s="1">
        <v>12</v>
      </c>
      <c r="B26" s="15" t="s">
        <v>360</v>
      </c>
      <c r="C26" s="5" t="s">
        <v>254</v>
      </c>
      <c r="D26" s="38" t="s">
        <v>556</v>
      </c>
      <c r="G26" s="86">
        <v>0</v>
      </c>
      <c r="H26" s="126">
        <f>0.35*X26/0.9</f>
        <v>986.63250000000005</v>
      </c>
      <c r="I26" s="86"/>
      <c r="J26" s="332">
        <f t="shared" si="6"/>
        <v>986.63250000000005</v>
      </c>
      <c r="K26" s="129"/>
      <c r="L26" s="87"/>
      <c r="M26" s="87">
        <v>108.8001084</v>
      </c>
      <c r="N26" s="87">
        <v>108.80010839999998</v>
      </c>
      <c r="O26" s="116"/>
      <c r="P26" s="130"/>
      <c r="Q26" s="360">
        <f>H26*M26</f>
        <v>107345.722950963</v>
      </c>
      <c r="R26" s="130"/>
      <c r="S26" s="130">
        <f t="shared" si="0"/>
        <v>107345.722950963</v>
      </c>
      <c r="T26" s="15" t="s">
        <v>232</v>
      </c>
      <c r="U26" s="5" t="s">
        <v>61</v>
      </c>
      <c r="V26" s="38" t="s">
        <v>437</v>
      </c>
      <c r="W26" s="191">
        <v>0</v>
      </c>
      <c r="X26" s="191">
        <v>2537.0550000000003</v>
      </c>
      <c r="Y26" s="332" t="s">
        <v>40</v>
      </c>
      <c r="Z26" s="191">
        <v>2537.0550000000003</v>
      </c>
      <c r="AA26" s="51"/>
      <c r="AB26" s="129"/>
      <c r="AC26" s="129">
        <f>X26-H26</f>
        <v>1550.4225000000001</v>
      </c>
      <c r="AD26" s="191" t="s">
        <v>40</v>
      </c>
      <c r="AE26" s="129">
        <f>Z26-J26</f>
        <v>1550.4225000000001</v>
      </c>
      <c r="AG26" s="87"/>
      <c r="AH26" s="87">
        <f>M26</f>
        <v>108.8001084</v>
      </c>
      <c r="AI26" s="87">
        <v>108.8001084</v>
      </c>
      <c r="AJ26" s="51"/>
      <c r="AK26" s="123"/>
      <c r="AL26" s="123">
        <f>AC26*AH26</f>
        <v>168686.13606579902</v>
      </c>
      <c r="AM26" s="123"/>
      <c r="AN26" s="125">
        <f t="shared" si="33"/>
        <v>168686.13606579902</v>
      </c>
      <c r="AO26" s="86"/>
      <c r="AP26" s="231">
        <f>AB26</f>
        <v>0</v>
      </c>
      <c r="AQ26" s="231">
        <f>AC26</f>
        <v>1550.4225000000001</v>
      </c>
      <c r="AR26" s="231" t="str">
        <f>AD26</f>
        <v>(rural only)</v>
      </c>
      <c r="AS26" s="231">
        <f>AP26+AQ26</f>
        <v>1550.4225000000001</v>
      </c>
      <c r="AT26" s="231"/>
      <c r="AU26" s="219"/>
      <c r="AV26" s="219">
        <f>AQ26/H26</f>
        <v>1.5714285714285714</v>
      </c>
      <c r="AW26" s="228"/>
      <c r="AZ26" s="89">
        <v>108.8001084</v>
      </c>
      <c r="BA26" s="89">
        <v>108.8001084</v>
      </c>
      <c r="BD26" s="239">
        <f>AP26*AY26</f>
        <v>0</v>
      </c>
      <c r="BE26" s="221">
        <f>AQ26*AZ26</f>
        <v>168686.13606579902</v>
      </c>
      <c r="BF26" s="221"/>
      <c r="BH26" s="5"/>
      <c r="BI26" s="5"/>
      <c r="BJ26" s="5"/>
      <c r="BK26" s="5"/>
      <c r="BL26" s="5"/>
      <c r="BM26" s="5"/>
      <c r="BN26" s="240">
        <f>G26+AP26</f>
        <v>0</v>
      </c>
      <c r="BO26" s="240">
        <f>H26+AQ26</f>
        <v>2537.0550000000003</v>
      </c>
      <c r="BP26" s="228"/>
      <c r="BQ26" s="108">
        <f t="shared" si="1"/>
        <v>2537.0550000000003</v>
      </c>
      <c r="BS26" s="138"/>
      <c r="BT26" s="138">
        <f t="shared" si="24"/>
        <v>108.80010839999998</v>
      </c>
      <c r="BU26" s="138"/>
      <c r="BV26" s="138">
        <f t="shared" si="26"/>
        <v>108.80010839999998</v>
      </c>
      <c r="BX26" s="171"/>
      <c r="BY26" s="171">
        <f>CD26/H26</f>
        <v>279.77170731428572</v>
      </c>
      <c r="BZ26" s="171"/>
      <c r="CA26" s="171">
        <f>CF26/J26</f>
        <v>279.77170731428572</v>
      </c>
      <c r="CC26" s="257">
        <f>P26+BD26</f>
        <v>0</v>
      </c>
      <c r="CD26" s="221">
        <f>Q26+BE26</f>
        <v>276031.859016762</v>
      </c>
      <c r="CE26" s="221"/>
      <c r="CF26" s="131">
        <f t="shared" si="34"/>
        <v>276031.859016762</v>
      </c>
    </row>
    <row r="27" spans="1:84">
      <c r="B27" s="122"/>
      <c r="C27" s="5"/>
      <c r="D27" s="38"/>
      <c r="G27" s="191"/>
      <c r="H27" s="191"/>
      <c r="I27" s="191"/>
      <c r="J27" s="332"/>
      <c r="K27" s="191"/>
      <c r="L27" s="116"/>
      <c r="M27" s="116"/>
      <c r="N27" s="116"/>
      <c r="O27" s="116"/>
      <c r="P27" s="130"/>
      <c r="Q27" s="130"/>
      <c r="R27" s="130"/>
      <c r="S27" s="130"/>
      <c r="T27" s="130"/>
      <c r="U27" s="5"/>
      <c r="V27" s="38"/>
      <c r="W27" s="191"/>
      <c r="X27" s="191"/>
      <c r="Y27" s="191"/>
      <c r="Z27" s="191"/>
      <c r="AA27" s="51"/>
      <c r="AB27" s="191"/>
      <c r="AC27" s="191"/>
      <c r="AD27" s="191"/>
      <c r="AE27" s="191"/>
      <c r="AG27" s="116"/>
      <c r="AH27" s="116"/>
      <c r="AI27" s="116"/>
      <c r="AJ27" s="51"/>
      <c r="AK27" s="130"/>
      <c r="AL27" s="130"/>
      <c r="AM27" s="130"/>
      <c r="AN27" s="130"/>
      <c r="AO27" s="191" t="s">
        <v>55</v>
      </c>
      <c r="AP27" s="233">
        <f>SUM(AP16:AP22)-(AP15-AP26)</f>
        <v>0</v>
      </c>
      <c r="AQ27" s="233">
        <f>SUM(AQ16:AQ22)-(AQ15-AQ26)</f>
        <v>0</v>
      </c>
      <c r="AR27" s="233">
        <f>SUM(AR16:AR22)-AR15</f>
        <v>0</v>
      </c>
      <c r="AS27" s="231">
        <f t="shared" si="12"/>
        <v>0</v>
      </c>
      <c r="AT27" s="233"/>
      <c r="AU27" s="219"/>
      <c r="AV27" s="219"/>
      <c r="AW27" s="228"/>
      <c r="AY27" s="219"/>
      <c r="AZ27" s="116"/>
      <c r="BA27" s="116"/>
      <c r="BD27" s="1"/>
      <c r="BE27" s="221"/>
      <c r="BF27" s="221"/>
      <c r="BG27" s="221"/>
      <c r="BH27" s="5"/>
      <c r="BI27" s="5"/>
      <c r="BJ27" s="5"/>
      <c r="BK27" s="5"/>
      <c r="BL27" s="5"/>
      <c r="BM27" s="5"/>
      <c r="BN27" s="222"/>
      <c r="BO27" s="222"/>
      <c r="BP27" s="222"/>
      <c r="BQ27" s="222"/>
      <c r="BS27" s="219"/>
      <c r="BT27" s="219"/>
      <c r="BU27" s="219"/>
      <c r="BV27" s="219"/>
      <c r="BX27" s="219"/>
      <c r="BY27" s="219"/>
      <c r="BZ27" s="219"/>
      <c r="CA27" s="219"/>
      <c r="CC27" s="222"/>
      <c r="CD27" s="221"/>
      <c r="CE27" s="221"/>
      <c r="CF27" s="221"/>
    </row>
    <row r="28" spans="1:84">
      <c r="C28" s="5"/>
      <c r="D28" s="38"/>
      <c r="G28" s="191"/>
      <c r="H28" s="191"/>
      <c r="I28" s="191"/>
      <c r="J28" s="333"/>
      <c r="K28" s="128"/>
      <c r="L28" s="308"/>
      <c r="M28" s="308"/>
      <c r="N28" s="116"/>
      <c r="O28" s="51"/>
      <c r="P28" s="130"/>
      <c r="Q28" s="130"/>
      <c r="R28" s="130"/>
      <c r="S28" s="130"/>
      <c r="T28" s="130"/>
      <c r="U28" s="5"/>
      <c r="V28" s="38"/>
      <c r="W28" s="191"/>
      <c r="X28" s="191"/>
      <c r="Y28" s="191"/>
      <c r="Z28" s="191"/>
      <c r="AA28" s="51"/>
      <c r="AB28" s="191"/>
      <c r="AC28" s="191"/>
      <c r="AD28" s="191"/>
      <c r="AE28" s="191"/>
      <c r="AF28" s="191"/>
      <c r="AG28" s="116"/>
      <c r="AH28" s="116"/>
      <c r="AI28" s="116"/>
      <c r="AJ28" s="51"/>
      <c r="AK28" s="130"/>
      <c r="AL28" s="130"/>
      <c r="AM28" s="130"/>
      <c r="AN28" s="130"/>
      <c r="AO28" s="242"/>
      <c r="AP28" s="233"/>
      <c r="AQ28" s="233"/>
      <c r="AR28" s="233"/>
      <c r="AS28" s="231">
        <f t="shared" si="12"/>
        <v>0</v>
      </c>
      <c r="AT28" s="233"/>
      <c r="AU28" s="219"/>
      <c r="AV28" s="219"/>
      <c r="AW28" s="219"/>
      <c r="AY28" s="116"/>
      <c r="AZ28" s="116"/>
      <c r="BA28" s="116"/>
      <c r="BD28" s="1"/>
      <c r="BE28" s="221"/>
      <c r="BF28" s="221"/>
      <c r="BG28" s="221"/>
      <c r="BH28" s="5"/>
      <c r="BI28" s="5"/>
      <c r="BJ28" s="5"/>
      <c r="BK28" s="5"/>
      <c r="BL28" s="5"/>
      <c r="BM28" s="5"/>
      <c r="BN28" s="222"/>
      <c r="BO28" s="222"/>
      <c r="BP28" s="222"/>
      <c r="BQ28" s="222"/>
      <c r="BS28" s="219"/>
      <c r="BT28" s="219"/>
      <c r="BU28" s="219"/>
      <c r="BV28" s="219"/>
      <c r="BX28" s="219"/>
      <c r="BY28" s="219"/>
      <c r="BZ28" s="219"/>
      <c r="CA28" s="219"/>
      <c r="CC28" s="221"/>
      <c r="CD28" s="221"/>
      <c r="CE28" s="221"/>
      <c r="CF28" s="221"/>
    </row>
    <row r="29" spans="1:84">
      <c r="B29" s="16" t="s">
        <v>373</v>
      </c>
      <c r="C29" s="38" t="s">
        <v>166</v>
      </c>
      <c r="D29" s="38" t="s">
        <v>643</v>
      </c>
      <c r="G29" s="1">
        <f>SUM(G30:G42)</f>
        <v>127732.99477882113</v>
      </c>
      <c r="H29" s="240">
        <f>SUM(H30:H42)</f>
        <v>122891.83270143793</v>
      </c>
      <c r="I29" s="240">
        <f>SUM(I30:I42)</f>
        <v>236525.54562868353</v>
      </c>
      <c r="J29" s="334">
        <f>G29+H29+I29</f>
        <v>487150.37310894259</v>
      </c>
      <c r="K29" s="128"/>
      <c r="L29" s="308">
        <f>P29/G29</f>
        <v>154.67965846283576</v>
      </c>
      <c r="M29" s="308">
        <f>Q29/H29</f>
        <v>158.89556248247061</v>
      </c>
      <c r="N29" s="248">
        <f>R29/I29</f>
        <v>224.71979629113261</v>
      </c>
      <c r="O29" s="51"/>
      <c r="P29" s="191">
        <f>SUM(P30:P42)</f>
        <v>19757696.006823234</v>
      </c>
      <c r="Q29" s="191">
        <f>SUM(Q30:Q42)</f>
        <v>19526966.881596655</v>
      </c>
      <c r="R29" s="191">
        <f>SUM(R30:R42)</f>
        <v>53151972.431326754</v>
      </c>
      <c r="S29" s="191">
        <f>SUM(S30:S42)</f>
        <v>92436635.319746643</v>
      </c>
      <c r="T29" s="16" t="s">
        <v>373</v>
      </c>
      <c r="U29" s="38" t="s">
        <v>29</v>
      </c>
      <c r="V29" s="38" t="s">
        <v>157</v>
      </c>
      <c r="W29" s="191">
        <f>SUM(W30:W42)</f>
        <v>184792.73827464585</v>
      </c>
      <c r="X29" s="191">
        <f>SUM(X30:X42)</f>
        <v>161859.50909360161</v>
      </c>
      <c r="Y29" s="191">
        <f>SUM(Y30:Y42)</f>
        <v>429690.74483502645</v>
      </c>
      <c r="Z29" s="191">
        <f>W29+X29+Y29</f>
        <v>776342.99220327393</v>
      </c>
      <c r="AA29" s="51"/>
      <c r="AB29" s="191">
        <f>SUM(AB30:AB42)</f>
        <v>57059.74349582474</v>
      </c>
      <c r="AC29" s="191">
        <f>SUM(AC30:AC42)</f>
        <v>38967.676392163681</v>
      </c>
      <c r="AD29" s="191">
        <f>SUM(AD30:AD42)</f>
        <v>193165.19920634295</v>
      </c>
      <c r="AE29" s="191">
        <f>AB29+AC29+AD29</f>
        <v>289192.6190943314</v>
      </c>
      <c r="AF29" s="191"/>
      <c r="AG29" s="116">
        <f>AK29/AB29</f>
        <v>189.72803467873328</v>
      </c>
      <c r="AH29" s="116">
        <f>AL29/AC29</f>
        <v>131.13362789122564</v>
      </c>
      <c r="AI29" s="116">
        <f>AM29/AD29</f>
        <v>91.908426358531642</v>
      </c>
      <c r="AJ29" s="51"/>
      <c r="AK29" s="130">
        <f>SUM(AK31:AK42)</f>
        <v>10825832.992735462</v>
      </c>
      <c r="AL29" s="130">
        <f>SUM(AL31:AL42)</f>
        <v>5109972.7757956907</v>
      </c>
      <c r="AM29" s="130">
        <f>SUM(AM31:AM42)</f>
        <v>17753509.486287266</v>
      </c>
      <c r="AN29" s="130">
        <f>AK29+AL29+AM29</f>
        <v>33689315.254818417</v>
      </c>
      <c r="AO29" s="191"/>
      <c r="AP29" s="245">
        <f>SUM(AB31:AB36)+AP42</f>
        <v>57059.74349582474</v>
      </c>
      <c r="AQ29" s="245">
        <f>SUM(AC31:AC36)+AQ42</f>
        <v>38967.676392163681</v>
      </c>
      <c r="AR29" s="245">
        <f>SUM(AD31:AD36)+AR42</f>
        <v>193165.19920634295</v>
      </c>
      <c r="AS29" s="231">
        <f t="shared" si="12"/>
        <v>289192.6190943314</v>
      </c>
      <c r="AT29" s="249"/>
      <c r="AU29" s="219"/>
      <c r="AV29" s="219"/>
      <c r="AW29" s="219"/>
      <c r="AY29" s="116"/>
      <c r="AZ29" s="116"/>
      <c r="BA29" s="116"/>
      <c r="BD29" s="221">
        <f>SUM(BD30:BD35)+BD42</f>
        <v>10825832.992735464</v>
      </c>
      <c r="BE29" s="255">
        <f>SUM(BE30:BE35)+BE42</f>
        <v>5109972.7757956898</v>
      </c>
      <c r="BF29" s="255">
        <f>SUM(BF30:BF35)+BF42</f>
        <v>17753509.486287266</v>
      </c>
      <c r="BG29" s="221">
        <f t="shared" ref="BG29:BG34" si="35">BD29+BE29+BF29</f>
        <v>33689315.254818425</v>
      </c>
      <c r="BH29" s="5"/>
      <c r="BI29" s="349">
        <f t="shared" si="16"/>
        <v>0</v>
      </c>
      <c r="BJ29" s="349">
        <f t="shared" si="17"/>
        <v>0</v>
      </c>
      <c r="BK29" s="349">
        <f t="shared" ref="BK29:BK36" si="36">(AR29-AD29)/I29</f>
        <v>0</v>
      </c>
      <c r="BL29" s="349">
        <f t="shared" si="19"/>
        <v>0</v>
      </c>
      <c r="BM29" s="5"/>
      <c r="BN29" s="240">
        <f>SUM(BN30:BN42)</f>
        <v>184792.73827464582</v>
      </c>
      <c r="BO29" s="240">
        <f>SUM(BO30:BO42)</f>
        <v>161859.50909360158</v>
      </c>
      <c r="BP29" s="240">
        <f>SUM(BP30:BP42)</f>
        <v>429690.7448350265</v>
      </c>
      <c r="BQ29" s="240">
        <f t="shared" ref="BQ29:BQ39" si="37">BN29+BO29+BP29</f>
        <v>776342.99220327381</v>
      </c>
      <c r="BS29" s="219"/>
      <c r="BT29" s="219"/>
      <c r="BU29" s="219"/>
      <c r="BV29" s="219"/>
      <c r="BX29" s="219"/>
      <c r="BY29" s="219"/>
      <c r="BZ29" s="219"/>
      <c r="CA29" s="219"/>
      <c r="CC29" s="221">
        <f>SUM(CC30:CC42)</f>
        <v>30583528.999558698</v>
      </c>
      <c r="CD29" s="221">
        <f>SUM(CD30:CD42)</f>
        <v>24636939.657392349</v>
      </c>
      <c r="CE29" s="221">
        <f>SUM(CE30:CE42)</f>
        <v>70905481.917614028</v>
      </c>
      <c r="CF29" s="221">
        <f>CC29+CD29+CE29</f>
        <v>126125950.57456508</v>
      </c>
    </row>
    <row r="30" spans="1:84">
      <c r="B30" s="17" t="s">
        <v>116</v>
      </c>
      <c r="C30" s="5" t="s">
        <v>361</v>
      </c>
      <c r="D30" s="37" t="s">
        <v>205</v>
      </c>
      <c r="G30" s="191">
        <v>536.22582205709273</v>
      </c>
      <c r="H30" s="191">
        <v>1352.9526393621529</v>
      </c>
      <c r="I30" s="191">
        <v>6823.2121432489412</v>
      </c>
      <c r="J30" s="334">
        <f t="shared" ref="J30:J42" si="38">G30+H30+I30</f>
        <v>8712.3906046681877</v>
      </c>
      <c r="K30" s="128"/>
      <c r="L30" s="308">
        <v>1051.3858333333335</v>
      </c>
      <c r="M30" s="308">
        <v>1381.1571428571426</v>
      </c>
      <c r="N30" s="116">
        <v>1677.0662499999999</v>
      </c>
      <c r="O30" s="51"/>
      <c r="P30" s="191">
        <f>L30*G30</f>
        <v>563780.23277834826</v>
      </c>
      <c r="Q30" s="191">
        <f>M30*H30</f>
        <v>1868640.2018024612</v>
      </c>
      <c r="R30" s="191">
        <f>N30*I30</f>
        <v>11442978.802032964</v>
      </c>
      <c r="S30" s="191">
        <f>P30+Q30+R30</f>
        <v>13875399.236613773</v>
      </c>
      <c r="T30" s="17" t="s">
        <v>392</v>
      </c>
      <c r="U30" s="5" t="s">
        <v>150</v>
      </c>
      <c r="V30" s="37" t="s">
        <v>322</v>
      </c>
      <c r="W30" s="191">
        <v>536.22582205709284</v>
      </c>
      <c r="X30" s="191">
        <v>1352.9526393621529</v>
      </c>
      <c r="Y30" s="191">
        <v>6823.2121432489412</v>
      </c>
      <c r="Z30" s="191">
        <f t="shared" ref="Z30:Z42" si="39">W30+X30+Y30</f>
        <v>8712.3906046681877</v>
      </c>
      <c r="AA30" s="51"/>
      <c r="AB30" s="51"/>
      <c r="AC30" s="51"/>
      <c r="AD30" s="51"/>
      <c r="AE30" s="51"/>
      <c r="AF30" s="191"/>
      <c r="AG30" s="116"/>
      <c r="AH30" s="116"/>
      <c r="AI30" s="116"/>
      <c r="AJ30" s="51"/>
      <c r="AK30" s="130"/>
      <c r="AL30" s="130"/>
      <c r="AM30" s="130"/>
      <c r="AN30" s="130"/>
      <c r="AO30" s="191"/>
      <c r="AP30" s="191">
        <f t="shared" ref="AP30:AR35" si="40">(AP$29-AP$42)*G30/SUM(G$30:G$35)</f>
        <v>411.64555302279939</v>
      </c>
      <c r="AQ30" s="191">
        <f t="shared" si="40"/>
        <v>525.4709130998026</v>
      </c>
      <c r="AR30" s="191">
        <f t="shared" si="40"/>
        <v>3004.4737307379487</v>
      </c>
      <c r="AS30" s="231">
        <f t="shared" si="12"/>
        <v>3941.5901968605508</v>
      </c>
      <c r="AT30" s="191"/>
      <c r="AU30" s="219">
        <f t="shared" ref="AU30:AW35" si="41">AP30/G30</f>
        <v>0.76767200699814653</v>
      </c>
      <c r="AV30" s="219">
        <f t="shared" si="41"/>
        <v>0.38838825381761694</v>
      </c>
      <c r="AW30" s="219">
        <f t="shared" si="41"/>
        <v>0.4403312791191244</v>
      </c>
      <c r="AY30" s="116">
        <v>193.13570182389293</v>
      </c>
      <c r="AZ30" s="116">
        <v>159.52294539758608</v>
      </c>
      <c r="BA30" s="116">
        <v>213.25347078940703</v>
      </c>
      <c r="BD30" s="221">
        <f t="shared" ref="BD30:BF35" si="42">AP30*AY30</f>
        <v>79503.452785742891</v>
      </c>
      <c r="BE30" s="221">
        <f t="shared" si="42"/>
        <v>83824.667778439514</v>
      </c>
      <c r="BF30" s="221">
        <f t="shared" si="42"/>
        <v>640714.45097546594</v>
      </c>
      <c r="BG30" s="221">
        <f t="shared" si="35"/>
        <v>804042.57153964834</v>
      </c>
      <c r="BH30" s="5"/>
      <c r="BI30" s="349">
        <f t="shared" si="16"/>
        <v>0.76767200699814653</v>
      </c>
      <c r="BJ30" s="349">
        <f t="shared" si="17"/>
        <v>0.38838825381761694</v>
      </c>
      <c r="BK30" s="349">
        <f t="shared" si="36"/>
        <v>0.4403312791191244</v>
      </c>
      <c r="BL30" s="349">
        <f t="shared" si="19"/>
        <v>0.45241201591083469</v>
      </c>
      <c r="BM30" s="5"/>
      <c r="BN30" s="240">
        <f t="shared" ref="BN30:BN39" si="43">G30+AP30</f>
        <v>947.87137507989212</v>
      </c>
      <c r="BO30" s="240">
        <f t="shared" ref="BO30:BO39" si="44">H30+AQ30</f>
        <v>1878.4235524619555</v>
      </c>
      <c r="BP30" s="240">
        <f t="shared" ref="BP30:BP39" si="45">I30+AR30</f>
        <v>9827.6858739868894</v>
      </c>
      <c r="BQ30" s="240">
        <f t="shared" si="37"/>
        <v>12653.980801528738</v>
      </c>
      <c r="BS30" s="264">
        <f>CC30/BN30</f>
        <v>678.66136954486205</v>
      </c>
      <c r="BT30" s="264">
        <f>CD30/BO30</f>
        <v>1039.4167316641142</v>
      </c>
      <c r="BU30" s="264">
        <f>CE30/BP30</f>
        <v>1229.5563175246591</v>
      </c>
      <c r="BV30" s="264">
        <f>CF30/BQ30</f>
        <v>1160.0651240422292</v>
      </c>
      <c r="BX30" s="264">
        <f t="shared" ref="BX30:BX38" si="46">CC30/G30</f>
        <v>1199.650705175477</v>
      </c>
      <c r="BY30" s="264">
        <f t="shared" ref="BY30:BY38" si="47">CD30/H30</f>
        <v>1443.1139810639543</v>
      </c>
      <c r="BZ30" s="264">
        <f t="shared" ref="BZ30:BZ38" si="48">CE30/I30</f>
        <v>1770.9684235692926</v>
      </c>
      <c r="CA30" s="264">
        <f t="shared" ref="CA30:CA38" si="49">CF30/J30</f>
        <v>1684.8925253980265</v>
      </c>
      <c r="CC30" s="221">
        <f t="shared" ref="CC30:CC38" si="50">P30+BD30</f>
        <v>643283.6855640912</v>
      </c>
      <c r="CD30" s="221">
        <f t="shared" ref="CD30:CD38" si="51">Q30+BE30</f>
        <v>1952464.8695809008</v>
      </c>
      <c r="CE30" s="221">
        <f t="shared" ref="CE30:CE38" si="52">R30+BF30</f>
        <v>12083693.253008431</v>
      </c>
      <c r="CF30" s="221">
        <f t="shared" ref="CF30:CF42" si="53">CC30+CD30+CE30</f>
        <v>14679441.808153423</v>
      </c>
    </row>
    <row r="31" spans="1:84">
      <c r="B31" s="17"/>
      <c r="C31" s="5" t="s">
        <v>362</v>
      </c>
      <c r="D31" s="37" t="s">
        <v>372</v>
      </c>
      <c r="G31" s="191">
        <v>2560.0967590580822</v>
      </c>
      <c r="H31" s="191">
        <v>6350.08945843726</v>
      </c>
      <c r="I31" s="191">
        <v>3133.7904367373903</v>
      </c>
      <c r="J31" s="334">
        <f t="shared" si="38"/>
        <v>12043.976654232732</v>
      </c>
      <c r="K31" s="128"/>
      <c r="L31" s="308">
        <v>243.27697072286281</v>
      </c>
      <c r="M31" s="308">
        <v>190.35213639964442</v>
      </c>
      <c r="N31" s="116">
        <v>325.40297097411241</v>
      </c>
      <c r="O31" s="51"/>
      <c r="P31" s="191">
        <f t="shared" ref="P31:P42" si="54">L31*G31</f>
        <v>622812.58430106903</v>
      </c>
      <c r="Q31" s="191">
        <f t="shared" ref="Q31:Q42" si="55">M31*H31</f>
        <v>1208753.0947423936</v>
      </c>
      <c r="R31" s="191">
        <f t="shared" ref="R31:R42" si="56">N31*I31</f>
        <v>1019744.7185246081</v>
      </c>
      <c r="S31" s="191">
        <f t="shared" ref="S31:S42" si="57">P31+Q31+R31</f>
        <v>2851310.3975680703</v>
      </c>
      <c r="T31" s="17" t="s">
        <v>393</v>
      </c>
      <c r="U31" s="5" t="s">
        <v>158</v>
      </c>
      <c r="V31" s="37" t="s">
        <v>67</v>
      </c>
      <c r="W31" s="191">
        <v>4216.8343992885302</v>
      </c>
      <c r="X31" s="191">
        <v>8153.3545780310897</v>
      </c>
      <c r="Y31" s="191">
        <v>3965.7747181733102</v>
      </c>
      <c r="Z31" s="191">
        <f t="shared" si="39"/>
        <v>16335.96369549293</v>
      </c>
      <c r="AA31" s="51"/>
      <c r="AB31" s="191">
        <f t="shared" ref="AB31:AD36" si="58">W31-G31</f>
        <v>1656.7376402304481</v>
      </c>
      <c r="AC31" s="191">
        <f t="shared" si="58"/>
        <v>1803.2651195938297</v>
      </c>
      <c r="AD31" s="191">
        <f t="shared" si="58"/>
        <v>831.98428143591991</v>
      </c>
      <c r="AE31" s="191">
        <f t="shared" ref="AE31:AE42" si="59">AB31+AC31+AD31</f>
        <v>4291.9870412601977</v>
      </c>
      <c r="AF31" s="191"/>
      <c r="AG31" s="116">
        <f t="shared" ref="AG31:AI36" si="60">L31</f>
        <v>243.27697072286281</v>
      </c>
      <c r="AH31" s="248">
        <f t="shared" si="60"/>
        <v>190.35213639964442</v>
      </c>
      <c r="AI31" s="248">
        <f t="shared" si="60"/>
        <v>325.40297097411241</v>
      </c>
      <c r="AJ31" s="51"/>
      <c r="AK31" s="130">
        <f t="shared" ref="AK31:AM36" si="61">AB31*AG31</f>
        <v>403046.11439780751</v>
      </c>
      <c r="AL31" s="130">
        <f t="shared" si="61"/>
        <v>343255.36800964578</v>
      </c>
      <c r="AM31" s="130">
        <f t="shared" si="61"/>
        <v>270730.15698301041</v>
      </c>
      <c r="AN31" s="130">
        <f t="shared" ref="AN31:AN42" si="62">AK31+AL31+AM31</f>
        <v>1017031.6393904637</v>
      </c>
      <c r="AO31" s="191"/>
      <c r="AP31" s="191">
        <f t="shared" si="40"/>
        <v>1965.3146171355684</v>
      </c>
      <c r="AQ31" s="191">
        <f t="shared" si="40"/>
        <v>2466.3001563481039</v>
      </c>
      <c r="AR31" s="191">
        <f t="shared" si="40"/>
        <v>1379.9059514998546</v>
      </c>
      <c r="AS31" s="231">
        <f t="shared" si="12"/>
        <v>5811.5207249835266</v>
      </c>
      <c r="AT31" s="191"/>
      <c r="AU31" s="219">
        <f t="shared" si="41"/>
        <v>0.76767200699814653</v>
      </c>
      <c r="AV31" s="219">
        <f t="shared" si="41"/>
        <v>0.38838825381761688</v>
      </c>
      <c r="AW31" s="219">
        <f t="shared" si="41"/>
        <v>0.4403312791191244</v>
      </c>
      <c r="AY31" s="248">
        <v>193.13570182389293</v>
      </c>
      <c r="AZ31" s="308">
        <v>159.52294539758608</v>
      </c>
      <c r="BA31" s="248">
        <v>213.25347078940703</v>
      </c>
      <c r="BD31" s="221">
        <f t="shared" si="42"/>
        <v>379572.41788523342</v>
      </c>
      <c r="BE31" s="221">
        <f t="shared" si="42"/>
        <v>393431.46517517662</v>
      </c>
      <c r="BF31" s="221">
        <f t="shared" si="42"/>
        <v>294269.73352030315</v>
      </c>
      <c r="BG31" s="221">
        <f t="shared" si="35"/>
        <v>1067273.6165807131</v>
      </c>
      <c r="BH31" s="5"/>
      <c r="BI31" s="349">
        <f t="shared" si="16"/>
        <v>0.12053332586486021</v>
      </c>
      <c r="BJ31" s="349">
        <f t="shared" si="17"/>
        <v>0.10441349544663664</v>
      </c>
      <c r="BK31" s="349">
        <f t="shared" si="36"/>
        <v>0.17484311128167829</v>
      </c>
      <c r="BL31" s="349">
        <f t="shared" si="19"/>
        <v>0.12616544579479108</v>
      </c>
      <c r="BM31" s="5"/>
      <c r="BN31" s="240">
        <f t="shared" si="43"/>
        <v>4525.4113761936505</v>
      </c>
      <c r="BO31" s="240">
        <f t="shared" si="44"/>
        <v>8816.3896147853629</v>
      </c>
      <c r="BP31" s="240">
        <f t="shared" si="45"/>
        <v>4513.6963882372447</v>
      </c>
      <c r="BQ31" s="240">
        <f t="shared" si="37"/>
        <v>17855.497379216256</v>
      </c>
      <c r="BS31" s="264">
        <f t="shared" ref="BS31:BS42" si="63">CC31/BN31</f>
        <v>221.50141033795126</v>
      </c>
      <c r="BT31" s="264">
        <f t="shared" ref="BT31:BT42" si="64">CD31/BO31</f>
        <v>181.7279668800771</v>
      </c>
      <c r="BU31" s="264">
        <f t="shared" ref="BU31:BU42" si="65">CE31/BP31</f>
        <v>291.11715521434962</v>
      </c>
      <c r="BV31" s="264">
        <f t="shared" ref="BV31:BV42" si="66">CF31/BQ31</f>
        <v>219.46092740659265</v>
      </c>
      <c r="BX31" s="264">
        <f t="shared" si="46"/>
        <v>391.54184256500628</v>
      </c>
      <c r="BY31" s="264">
        <f t="shared" si="47"/>
        <v>252.30897460645593</v>
      </c>
      <c r="BZ31" s="264">
        <f t="shared" si="48"/>
        <v>419.30514454340482</v>
      </c>
      <c r="CA31" s="264">
        <f t="shared" si="49"/>
        <v>325.35632761888803</v>
      </c>
      <c r="CC31" s="221">
        <f t="shared" si="50"/>
        <v>1002385.0021863024</v>
      </c>
      <c r="CD31" s="221">
        <f t="shared" si="51"/>
        <v>1602184.5599175701</v>
      </c>
      <c r="CE31" s="221">
        <f t="shared" si="52"/>
        <v>1314014.4520449112</v>
      </c>
      <c r="CF31" s="221">
        <f t="shared" si="53"/>
        <v>3918584.0141487839</v>
      </c>
    </row>
    <row r="32" spans="1:84">
      <c r="B32" s="17"/>
      <c r="C32" s="5" t="s">
        <v>174</v>
      </c>
      <c r="D32" s="38" t="s">
        <v>33</v>
      </c>
      <c r="G32" s="191">
        <v>6524</v>
      </c>
      <c r="H32" s="191">
        <v>17516</v>
      </c>
      <c r="I32" s="191">
        <v>4819</v>
      </c>
      <c r="J32" s="334">
        <f t="shared" si="38"/>
        <v>28859</v>
      </c>
      <c r="K32" s="128"/>
      <c r="L32" s="308">
        <v>188.7</v>
      </c>
      <c r="M32" s="308">
        <v>144.51</v>
      </c>
      <c r="N32" s="116">
        <v>188.73</v>
      </c>
      <c r="O32" s="51"/>
      <c r="P32" s="191">
        <f t="shared" si="54"/>
        <v>1231078.7999999998</v>
      </c>
      <c r="Q32" s="191">
        <f t="shared" si="55"/>
        <v>2531237.1599999997</v>
      </c>
      <c r="R32" s="191">
        <f t="shared" si="56"/>
        <v>909489.87</v>
      </c>
      <c r="S32" s="191">
        <f t="shared" si="57"/>
        <v>4671805.8299999991</v>
      </c>
      <c r="T32" s="17"/>
      <c r="U32" s="5" t="s">
        <v>68</v>
      </c>
      <c r="V32" s="38" t="s">
        <v>557</v>
      </c>
      <c r="W32" s="191">
        <v>10745.932755713562</v>
      </c>
      <c r="X32" s="191">
        <v>22489.81823933448</v>
      </c>
      <c r="Y32" s="191">
        <v>6098.387480808653</v>
      </c>
      <c r="Z32" s="191">
        <f t="shared" si="39"/>
        <v>39334.1384758567</v>
      </c>
      <c r="AA32" s="51"/>
      <c r="AB32" s="191">
        <f t="shared" si="58"/>
        <v>4221.9327557135621</v>
      </c>
      <c r="AC32" s="191">
        <f t="shared" si="58"/>
        <v>4973.8182393344796</v>
      </c>
      <c r="AD32" s="191">
        <f t="shared" si="58"/>
        <v>1279.387480808653</v>
      </c>
      <c r="AE32" s="191">
        <f t="shared" si="59"/>
        <v>10475.138475856695</v>
      </c>
      <c r="AF32" s="191"/>
      <c r="AG32" s="248">
        <f t="shared" si="60"/>
        <v>188.7</v>
      </c>
      <c r="AH32" s="248">
        <f t="shared" si="60"/>
        <v>144.51</v>
      </c>
      <c r="AI32" s="248">
        <f t="shared" si="60"/>
        <v>188.73</v>
      </c>
      <c r="AJ32" s="51"/>
      <c r="AK32" s="130">
        <f t="shared" si="61"/>
        <v>796678.71100314916</v>
      </c>
      <c r="AL32" s="130">
        <f t="shared" si="61"/>
        <v>718766.47376622562</v>
      </c>
      <c r="AM32" s="130">
        <f t="shared" si="61"/>
        <v>241458.79925301706</v>
      </c>
      <c r="AN32" s="130">
        <f t="shared" si="62"/>
        <v>1756903.984022392</v>
      </c>
      <c r="AO32" s="191"/>
      <c r="AP32" s="191">
        <f t="shared" si="40"/>
        <v>5008.2921736559083</v>
      </c>
      <c r="AQ32" s="191">
        <f t="shared" si="40"/>
        <v>6803.0086538693777</v>
      </c>
      <c r="AR32" s="191">
        <f t="shared" si="40"/>
        <v>2121.9564340750603</v>
      </c>
      <c r="AS32" s="231">
        <f t="shared" si="12"/>
        <v>13933.257261600347</v>
      </c>
      <c r="AT32" s="191"/>
      <c r="AU32" s="219">
        <f t="shared" si="41"/>
        <v>0.76767200699814653</v>
      </c>
      <c r="AV32" s="219">
        <f t="shared" si="41"/>
        <v>0.38838825381761688</v>
      </c>
      <c r="AW32" s="219">
        <f t="shared" si="41"/>
        <v>0.44033127911912434</v>
      </c>
      <c r="AY32" s="248">
        <v>193.13570182389293</v>
      </c>
      <c r="AZ32" s="308">
        <v>159.52294539758608</v>
      </c>
      <c r="BA32" s="248">
        <v>213.25347078940703</v>
      </c>
      <c r="BD32" s="221">
        <f t="shared" si="42"/>
        <v>967280.02389814414</v>
      </c>
      <c r="BE32" s="221">
        <f t="shared" si="42"/>
        <v>1085235.9780305102</v>
      </c>
      <c r="BF32" s="221">
        <f t="shared" si="42"/>
        <v>452514.57443042018</v>
      </c>
      <c r="BG32" s="221">
        <f t="shared" si="35"/>
        <v>2505030.5763590746</v>
      </c>
      <c r="BH32" s="5"/>
      <c r="BI32" s="349">
        <f t="shared" si="16"/>
        <v>0.12053332586485993</v>
      </c>
      <c r="BJ32" s="349">
        <f t="shared" si="17"/>
        <v>0.10442968797299029</v>
      </c>
      <c r="BK32" s="349">
        <f t="shared" si="36"/>
        <v>0.17484311128167823</v>
      </c>
      <c r="BL32" s="349">
        <f t="shared" si="19"/>
        <v>0.11982808779734754</v>
      </c>
      <c r="BM32" s="5"/>
      <c r="BN32" s="240">
        <f t="shared" si="43"/>
        <v>11532.292173655907</v>
      </c>
      <c r="BO32" s="240">
        <f t="shared" si="44"/>
        <v>24319.008653869379</v>
      </c>
      <c r="BP32" s="240">
        <f t="shared" si="45"/>
        <v>6940.9564340750603</v>
      </c>
      <c r="BQ32" s="240">
        <f t="shared" si="37"/>
        <v>42792.257261600345</v>
      </c>
      <c r="BS32" s="264">
        <f t="shared" si="63"/>
        <v>190.62635517681579</v>
      </c>
      <c r="BT32" s="264">
        <f t="shared" si="64"/>
        <v>148.70972700834562</v>
      </c>
      <c r="BU32" s="264">
        <f t="shared" si="65"/>
        <v>196.22719971904255</v>
      </c>
      <c r="BV32" s="264">
        <f t="shared" si="66"/>
        <v>167.71343382250632</v>
      </c>
      <c r="BX32" s="264">
        <f t="shared" si="46"/>
        <v>336.96487184214345</v>
      </c>
      <c r="BY32" s="264">
        <f t="shared" si="47"/>
        <v>206.46683820681147</v>
      </c>
      <c r="BZ32" s="264">
        <f t="shared" si="48"/>
        <v>282.63217356929243</v>
      </c>
      <c r="CA32" s="264">
        <f t="shared" si="49"/>
        <v>248.68624714505265</v>
      </c>
      <c r="CC32" s="221">
        <f t="shared" si="50"/>
        <v>2198358.8238981441</v>
      </c>
      <c r="CD32" s="221">
        <f t="shared" si="51"/>
        <v>3616473.1380305099</v>
      </c>
      <c r="CE32" s="221">
        <f t="shared" si="52"/>
        <v>1362004.4444304202</v>
      </c>
      <c r="CF32" s="221">
        <f t="shared" si="53"/>
        <v>7176836.4063590746</v>
      </c>
    </row>
    <row r="33" spans="2:85">
      <c r="B33" s="17"/>
      <c r="C33" s="5" t="s">
        <v>163</v>
      </c>
      <c r="D33" s="38" t="s">
        <v>483</v>
      </c>
      <c r="G33" s="191">
        <v>3640.4232384296024</v>
      </c>
      <c r="H33" s="191">
        <v>10381.402867192013</v>
      </c>
      <c r="I33" s="191">
        <v>2953.5588889558767</v>
      </c>
      <c r="J33" s="334">
        <f t="shared" si="38"/>
        <v>16975.384994577493</v>
      </c>
      <c r="K33" s="128"/>
      <c r="L33" s="308">
        <v>240.11000000000004</v>
      </c>
      <c r="M33" s="308">
        <v>210.65</v>
      </c>
      <c r="N33" s="116">
        <v>250.81000000000003</v>
      </c>
      <c r="O33" s="51"/>
      <c r="P33" s="191">
        <f t="shared" si="54"/>
        <v>874102.02377933194</v>
      </c>
      <c r="Q33" s="191">
        <f t="shared" si="55"/>
        <v>2186842.5139739974</v>
      </c>
      <c r="R33" s="191">
        <f t="shared" si="56"/>
        <v>740782.1049390235</v>
      </c>
      <c r="S33" s="191">
        <f t="shared" si="57"/>
        <v>3801726.6426923531</v>
      </c>
      <c r="T33" s="17"/>
      <c r="U33" s="5" t="s">
        <v>558</v>
      </c>
      <c r="V33" s="38" t="s">
        <v>483</v>
      </c>
      <c r="W33" s="191">
        <v>5995.5847993251627</v>
      </c>
      <c r="X33" s="191">
        <v>13314.670036342497</v>
      </c>
      <c r="Y33" s="191">
        <v>3737.6938269847751</v>
      </c>
      <c r="Z33" s="191">
        <f t="shared" si="39"/>
        <v>23047.948662652434</v>
      </c>
      <c r="AA33" s="51"/>
      <c r="AB33" s="191">
        <f t="shared" si="58"/>
        <v>2355.1615608955603</v>
      </c>
      <c r="AC33" s="191">
        <f t="shared" si="58"/>
        <v>2933.2671691504838</v>
      </c>
      <c r="AD33" s="191">
        <f t="shared" si="58"/>
        <v>784.13493802889843</v>
      </c>
      <c r="AE33" s="191">
        <f t="shared" si="59"/>
        <v>6072.5636680749421</v>
      </c>
      <c r="AF33" s="191"/>
      <c r="AG33" s="248">
        <f t="shared" si="60"/>
        <v>240.11000000000004</v>
      </c>
      <c r="AH33" s="248">
        <f t="shared" si="60"/>
        <v>210.65</v>
      </c>
      <c r="AI33" s="248">
        <f t="shared" si="60"/>
        <v>250.81000000000003</v>
      </c>
      <c r="AJ33" s="51"/>
      <c r="AK33" s="130">
        <f t="shared" si="61"/>
        <v>565497.84238663304</v>
      </c>
      <c r="AL33" s="130">
        <f t="shared" si="61"/>
        <v>617892.7291815494</v>
      </c>
      <c r="AM33" s="130">
        <f t="shared" si="61"/>
        <v>196668.88380702803</v>
      </c>
      <c r="AN33" s="130">
        <f t="shared" si="62"/>
        <v>1380059.4553752104</v>
      </c>
      <c r="AO33" s="191"/>
      <c r="AP33" s="191">
        <f t="shared" si="40"/>
        <v>2794.6510137679452</v>
      </c>
      <c r="AQ33" s="191">
        <f t="shared" si="40"/>
        <v>4032.0149317659084</v>
      </c>
      <c r="AR33" s="191">
        <f t="shared" si="40"/>
        <v>1300.544363527601</v>
      </c>
      <c r="AS33" s="231">
        <f t="shared" si="12"/>
        <v>8127.2103090614546</v>
      </c>
      <c r="AT33" s="191"/>
      <c r="AU33" s="219">
        <f t="shared" si="41"/>
        <v>0.76767200699814664</v>
      </c>
      <c r="AV33" s="219">
        <f t="shared" si="41"/>
        <v>0.38838825381761699</v>
      </c>
      <c r="AW33" s="219">
        <f t="shared" si="41"/>
        <v>0.4403312791191244</v>
      </c>
      <c r="AY33" s="248">
        <v>193.13570182389293</v>
      </c>
      <c r="AZ33" s="308">
        <v>159.52294539758608</v>
      </c>
      <c r="BA33" s="248">
        <v>213.25347078940703</v>
      </c>
      <c r="BD33" s="221">
        <f t="shared" si="42"/>
        <v>539746.884896926</v>
      </c>
      <c r="BE33" s="221">
        <f t="shared" si="42"/>
        <v>643198.89780234476</v>
      </c>
      <c r="BF33" s="221">
        <f t="shared" si="42"/>
        <v>277345.59943786124</v>
      </c>
      <c r="BG33" s="221">
        <f t="shared" si="35"/>
        <v>1460291.3821371319</v>
      </c>
      <c r="BH33" s="5"/>
      <c r="BI33" s="349">
        <f t="shared" si="16"/>
        <v>0.12072482348562603</v>
      </c>
      <c r="BJ33" s="349">
        <f t="shared" si="17"/>
        <v>0.10583808148778803</v>
      </c>
      <c r="BK33" s="349">
        <f t="shared" si="36"/>
        <v>0.17484311128167834</v>
      </c>
      <c r="BL33" s="349">
        <f t="shared" si="19"/>
        <v>0.12103682135296699</v>
      </c>
      <c r="BM33" s="5"/>
      <c r="BN33" s="240">
        <f t="shared" si="43"/>
        <v>6435.074252197548</v>
      </c>
      <c r="BO33" s="240">
        <f t="shared" si="44"/>
        <v>14413.417798957922</v>
      </c>
      <c r="BP33" s="240">
        <f t="shared" si="45"/>
        <v>4254.1032524834773</v>
      </c>
      <c r="BQ33" s="240">
        <f t="shared" si="37"/>
        <v>25102.595303638947</v>
      </c>
      <c r="BS33" s="264">
        <f t="shared" si="63"/>
        <v>219.709804932466</v>
      </c>
      <c r="BT33" s="264">
        <f t="shared" si="64"/>
        <v>196.34769846059356</v>
      </c>
      <c r="BU33" s="264">
        <f t="shared" si="65"/>
        <v>239.32839518705103</v>
      </c>
      <c r="BV33" s="264">
        <f t="shared" si="66"/>
        <v>209.62047792989307</v>
      </c>
      <c r="BX33" s="264">
        <f t="shared" si="46"/>
        <v>388.37487184214348</v>
      </c>
      <c r="BY33" s="264">
        <f t="shared" si="47"/>
        <v>272.60683820681152</v>
      </c>
      <c r="BZ33" s="264">
        <f t="shared" si="48"/>
        <v>344.71217356929247</v>
      </c>
      <c r="CA33" s="264">
        <f t="shared" si="49"/>
        <v>309.97930394570437</v>
      </c>
      <c r="CC33" s="221">
        <f t="shared" si="50"/>
        <v>1413848.9086762578</v>
      </c>
      <c r="CD33" s="221">
        <f t="shared" si="51"/>
        <v>2830041.4117763424</v>
      </c>
      <c r="CE33" s="221">
        <f t="shared" si="52"/>
        <v>1018127.7043768847</v>
      </c>
      <c r="CF33" s="221">
        <f t="shared" si="53"/>
        <v>5262018.0248294855</v>
      </c>
    </row>
    <row r="34" spans="2:85">
      <c r="B34" s="17"/>
      <c r="C34" s="5" t="s">
        <v>324</v>
      </c>
      <c r="D34" s="38" t="s">
        <v>496</v>
      </c>
      <c r="G34" s="191">
        <v>56619.56556614078</v>
      </c>
      <c r="H34" s="191">
        <v>32033.355797621083</v>
      </c>
      <c r="I34" s="191">
        <v>101257.50784481918</v>
      </c>
      <c r="J34" s="334">
        <f t="shared" si="38"/>
        <v>189910.42920858104</v>
      </c>
      <c r="K34" s="128"/>
      <c r="L34" s="308">
        <v>208.17399999999998</v>
      </c>
      <c r="M34" s="308">
        <v>204.88916202343208</v>
      </c>
      <c r="N34" s="116">
        <v>310</v>
      </c>
      <c r="O34" s="51"/>
      <c r="P34" s="191">
        <f t="shared" si="54"/>
        <v>11786721.44216579</v>
      </c>
      <c r="Q34" s="191">
        <f t="shared" si="55"/>
        <v>6563287.4261730332</v>
      </c>
      <c r="R34" s="191">
        <f t="shared" si="56"/>
        <v>31389827.431893945</v>
      </c>
      <c r="S34" s="191">
        <f t="shared" si="57"/>
        <v>49739836.300232768</v>
      </c>
      <c r="T34" s="17"/>
      <c r="U34" s="5" t="s">
        <v>155</v>
      </c>
      <c r="V34" s="38" t="s">
        <v>156</v>
      </c>
      <c r="W34" s="191">
        <v>93260.276552952768</v>
      </c>
      <c r="X34" s="191">
        <v>41284.451255530868</v>
      </c>
      <c r="Y34" s="191">
        <v>128140.17808232605</v>
      </c>
      <c r="Z34" s="191">
        <f t="shared" si="39"/>
        <v>262684.90589080972</v>
      </c>
      <c r="AA34" s="51"/>
      <c r="AB34" s="191">
        <f t="shared" si="58"/>
        <v>36640.710986811988</v>
      </c>
      <c r="AC34" s="191">
        <f t="shared" si="58"/>
        <v>9251.0954579097852</v>
      </c>
      <c r="AD34" s="191">
        <f t="shared" si="58"/>
        <v>26882.670237506871</v>
      </c>
      <c r="AE34" s="191">
        <f t="shared" si="59"/>
        <v>72774.476682228647</v>
      </c>
      <c r="AF34" s="191"/>
      <c r="AG34" s="248">
        <f t="shared" si="60"/>
        <v>208.17399999999998</v>
      </c>
      <c r="AH34" s="248">
        <f t="shared" si="60"/>
        <v>204.88916202343208</v>
      </c>
      <c r="AI34" s="248">
        <f t="shared" si="60"/>
        <v>310</v>
      </c>
      <c r="AJ34" s="51"/>
      <c r="AK34" s="130">
        <f t="shared" si="61"/>
        <v>7627643.3689685976</v>
      </c>
      <c r="AL34" s="130">
        <f t="shared" si="61"/>
        <v>1895449.1961699144</v>
      </c>
      <c r="AM34" s="130">
        <f t="shared" si="61"/>
        <v>8333627.7736271303</v>
      </c>
      <c r="AN34" s="130">
        <f t="shared" si="62"/>
        <v>17856720.338765644</v>
      </c>
      <c r="AO34" s="191"/>
      <c r="AP34" s="191">
        <f t="shared" si="40"/>
        <v>43465.255533522446</v>
      </c>
      <c r="AQ34" s="191">
        <f t="shared" si="40"/>
        <v>12441.379122156488</v>
      </c>
      <c r="AR34" s="191">
        <f t="shared" si="40"/>
        <v>44586.847949724004</v>
      </c>
      <c r="AS34" s="231">
        <f t="shared" si="12"/>
        <v>100493.48260540294</v>
      </c>
      <c r="AT34" s="191"/>
      <c r="AU34" s="219">
        <f t="shared" si="41"/>
        <v>0.76767200699814664</v>
      </c>
      <c r="AV34" s="219">
        <f t="shared" si="41"/>
        <v>0.38838825381761694</v>
      </c>
      <c r="AW34" s="219">
        <f t="shared" si="41"/>
        <v>0.4403312791191244</v>
      </c>
      <c r="AY34" s="248">
        <v>193.13570182389293</v>
      </c>
      <c r="AZ34" s="308">
        <v>159.52294539758608</v>
      </c>
      <c r="BA34" s="248">
        <v>213.25347078940703</v>
      </c>
      <c r="BD34" s="221">
        <f t="shared" si="42"/>
        <v>8394692.632421704</v>
      </c>
      <c r="BE34" s="221">
        <f t="shared" si="42"/>
        <v>1984685.4423744369</v>
      </c>
      <c r="BF34" s="221">
        <f t="shared" si="42"/>
        <v>9508300.0768382009</v>
      </c>
      <c r="BG34" s="221">
        <f t="shared" si="35"/>
        <v>19887678.151634343</v>
      </c>
      <c r="BH34" s="5"/>
      <c r="BI34" s="349">
        <f t="shared" si="16"/>
        <v>0.1205333258648601</v>
      </c>
      <c r="BJ34" s="351">
        <f t="shared" si="17"/>
        <v>9.9592552350810062E-2</v>
      </c>
      <c r="BK34" s="349">
        <f t="shared" si="36"/>
        <v>0.17484311128167832</v>
      </c>
      <c r="BL34" s="349">
        <f t="shared" si="19"/>
        <v>0.1459583132884722</v>
      </c>
      <c r="BM34" s="5"/>
      <c r="BN34" s="240">
        <f t="shared" si="43"/>
        <v>100084.82109966323</v>
      </c>
      <c r="BO34" s="240">
        <f t="shared" si="44"/>
        <v>44474.734919777569</v>
      </c>
      <c r="BP34" s="240">
        <f t="shared" si="45"/>
        <v>145844.35579454317</v>
      </c>
      <c r="BQ34" s="240">
        <f t="shared" si="37"/>
        <v>290403.91181398393</v>
      </c>
      <c r="BS34" s="264">
        <f t="shared" si="63"/>
        <v>201.64310484694869</v>
      </c>
      <c r="BT34" s="264">
        <f t="shared" si="64"/>
        <v>192.19839947255656</v>
      </c>
      <c r="BU34" s="264">
        <f t="shared" si="65"/>
        <v>280.42310781191281</v>
      </c>
      <c r="BV34" s="264">
        <f t="shared" si="66"/>
        <v>239.76093853882551</v>
      </c>
      <c r="BX34" s="264">
        <f t="shared" si="46"/>
        <v>356.4388718421435</v>
      </c>
      <c r="BY34" s="264">
        <f t="shared" si="47"/>
        <v>266.84600023024353</v>
      </c>
      <c r="BZ34" s="264">
        <f t="shared" si="48"/>
        <v>403.90217356929247</v>
      </c>
      <c r="CA34" s="264">
        <f t="shared" si="49"/>
        <v>366.63344262886329</v>
      </c>
      <c r="CC34" s="221">
        <f t="shared" si="50"/>
        <v>20181414.074587494</v>
      </c>
      <c r="CD34" s="221">
        <f t="shared" si="51"/>
        <v>8547972.8685474694</v>
      </c>
      <c r="CE34" s="221">
        <f t="shared" si="52"/>
        <v>40898127.508732148</v>
      </c>
      <c r="CF34" s="221">
        <f t="shared" si="53"/>
        <v>69627514.451867104</v>
      </c>
    </row>
    <row r="35" spans="2:85">
      <c r="B35" s="17"/>
      <c r="C35" s="5" t="s">
        <v>491</v>
      </c>
      <c r="D35" s="38" t="s">
        <v>247</v>
      </c>
      <c r="G35" s="191">
        <v>2559</v>
      </c>
      <c r="H35" s="191">
        <v>7141</v>
      </c>
      <c r="I35" s="191">
        <v>2297</v>
      </c>
      <c r="J35" s="334">
        <f t="shared" si="38"/>
        <v>11997</v>
      </c>
      <c r="K35" s="128"/>
      <c r="L35" s="308">
        <v>159.732</v>
      </c>
      <c r="M35" s="308">
        <v>124.252</v>
      </c>
      <c r="N35" s="116">
        <v>114.84</v>
      </c>
      <c r="O35" s="51"/>
      <c r="P35" s="191">
        <f t="shared" si="54"/>
        <v>408754.18800000002</v>
      </c>
      <c r="Q35" s="191">
        <f t="shared" si="55"/>
        <v>887283.53200000001</v>
      </c>
      <c r="R35" s="191">
        <f t="shared" si="56"/>
        <v>263787.48</v>
      </c>
      <c r="S35" s="191">
        <f t="shared" si="57"/>
        <v>1559825.2</v>
      </c>
      <c r="T35" s="17"/>
      <c r="U35" s="5" t="s">
        <v>52</v>
      </c>
      <c r="V35" s="38" t="s">
        <v>53</v>
      </c>
      <c r="W35" s="191">
        <v>9989.6149376420053</v>
      </c>
      <c r="X35" s="191">
        <v>14644.79583276974</v>
      </c>
      <c r="Y35" s="191">
        <v>20388.139406585877</v>
      </c>
      <c r="Z35" s="191">
        <f t="shared" si="39"/>
        <v>45022.550176997625</v>
      </c>
      <c r="AA35" s="51"/>
      <c r="AB35" s="191">
        <f t="shared" si="58"/>
        <v>7430.6149376420053</v>
      </c>
      <c r="AC35" s="191">
        <f t="shared" si="58"/>
        <v>7503.7958327697397</v>
      </c>
      <c r="AD35" s="191">
        <f t="shared" si="58"/>
        <v>18091.139406585877</v>
      </c>
      <c r="AE35" s="191">
        <f t="shared" si="59"/>
        <v>33025.550176997625</v>
      </c>
      <c r="AF35" s="191"/>
      <c r="AG35" s="248">
        <f t="shared" si="60"/>
        <v>159.732</v>
      </c>
      <c r="AH35" s="248">
        <f t="shared" si="60"/>
        <v>124.252</v>
      </c>
      <c r="AI35" s="248">
        <f t="shared" si="60"/>
        <v>114.84</v>
      </c>
      <c r="AJ35" s="51"/>
      <c r="AK35" s="130">
        <f t="shared" si="61"/>
        <v>1186906.9852194327</v>
      </c>
      <c r="AL35" s="130">
        <f t="shared" si="61"/>
        <v>932361.63981330569</v>
      </c>
      <c r="AM35" s="130">
        <f t="shared" si="61"/>
        <v>2077586.4494523222</v>
      </c>
      <c r="AN35" s="130">
        <f t="shared" si="62"/>
        <v>4196855.0744850608</v>
      </c>
      <c r="AO35" s="191"/>
      <c r="AP35" s="191">
        <f t="shared" si="40"/>
        <v>1964.4726659082569</v>
      </c>
      <c r="AQ35" s="191">
        <f t="shared" si="40"/>
        <v>2773.4805205116027</v>
      </c>
      <c r="AR35" s="191">
        <f t="shared" si="40"/>
        <v>1011.4409481366288</v>
      </c>
      <c r="AS35" s="231">
        <f t="shared" si="12"/>
        <v>5749.394134556489</v>
      </c>
      <c r="AT35" s="191"/>
      <c r="AU35" s="219">
        <f t="shared" si="41"/>
        <v>0.76767200699814653</v>
      </c>
      <c r="AV35" s="219">
        <f t="shared" si="41"/>
        <v>0.38838825381761694</v>
      </c>
      <c r="AW35" s="219">
        <f t="shared" si="41"/>
        <v>0.4403312791191244</v>
      </c>
      <c r="AY35" s="248">
        <v>193.13570182389293</v>
      </c>
      <c r="AZ35" s="308">
        <v>159.52294539758608</v>
      </c>
      <c r="BA35" s="248">
        <v>213.25347078940703</v>
      </c>
      <c r="BD35" s="255">
        <f t="shared" si="42"/>
        <v>379409.80704404513</v>
      </c>
      <c r="BE35" s="255">
        <f t="shared" si="42"/>
        <v>442433.781634841</v>
      </c>
      <c r="BF35" s="255">
        <f t="shared" si="42"/>
        <v>215693.29268866472</v>
      </c>
      <c r="BG35" s="255">
        <f>BD35+BE35+BF35</f>
        <v>1037536.8813675509</v>
      </c>
      <c r="BH35" s="5"/>
      <c r="BI35" s="349">
        <f t="shared" si="16"/>
        <v>-2.136046217949882</v>
      </c>
      <c r="BJ35" s="349">
        <f t="shared" si="17"/>
        <v>-0.66241637197285208</v>
      </c>
      <c r="BK35" s="349">
        <f t="shared" si="36"/>
        <v>-7.4356545313231388</v>
      </c>
      <c r="BL35" s="349">
        <f t="shared" si="19"/>
        <v>-2.273581398886483</v>
      </c>
      <c r="BM35" s="5"/>
      <c r="BN35" s="240">
        <f t="shared" si="43"/>
        <v>4523.4726659082571</v>
      </c>
      <c r="BO35" s="240">
        <f t="shared" si="44"/>
        <v>9914.4805205116027</v>
      </c>
      <c r="BP35" s="240">
        <f t="shared" si="45"/>
        <v>3308.4409481366288</v>
      </c>
      <c r="BQ35" s="240">
        <f t="shared" si="37"/>
        <v>17746.394134556489</v>
      </c>
      <c r="BS35" s="264">
        <f t="shared" si="63"/>
        <v>174.23869961327412</v>
      </c>
      <c r="BT35" s="264">
        <f t="shared" si="64"/>
        <v>134.11870756958484</v>
      </c>
      <c r="BU35" s="264">
        <f t="shared" si="65"/>
        <v>144.92650169824449</v>
      </c>
      <c r="BV35" s="264">
        <f t="shared" si="66"/>
        <v>146.35999074932428</v>
      </c>
      <c r="BX35" s="264">
        <f t="shared" si="46"/>
        <v>307.99687184214349</v>
      </c>
      <c r="BY35" s="264">
        <f t="shared" si="47"/>
        <v>186.20883820681152</v>
      </c>
      <c r="BZ35" s="264">
        <f t="shared" si="48"/>
        <v>208.74217356929245</v>
      </c>
      <c r="CA35" s="264">
        <f t="shared" si="49"/>
        <v>216.50096535530136</v>
      </c>
      <c r="CC35" s="221">
        <f t="shared" si="50"/>
        <v>788163.99504404515</v>
      </c>
      <c r="CD35" s="221">
        <f t="shared" si="51"/>
        <v>1329717.313634841</v>
      </c>
      <c r="CE35" s="221">
        <f t="shared" si="52"/>
        <v>479480.77268866473</v>
      </c>
      <c r="CF35" s="221">
        <f t="shared" si="53"/>
        <v>2597362.0813675504</v>
      </c>
    </row>
    <row r="36" spans="2:85">
      <c r="B36" s="17"/>
      <c r="C36" s="5" t="s">
        <v>248</v>
      </c>
      <c r="D36" s="38" t="s">
        <v>171</v>
      </c>
      <c r="G36" s="191">
        <v>201.631472433412</v>
      </c>
      <c r="H36" s="191">
        <v>415.55032600872619</v>
      </c>
      <c r="I36" s="191">
        <v>159.4840128206024</v>
      </c>
      <c r="J36" s="334">
        <f t="shared" si="38"/>
        <v>776.66581126274059</v>
      </c>
      <c r="K36" s="128"/>
      <c r="L36" s="308">
        <v>48.55</v>
      </c>
      <c r="M36" s="308">
        <v>48.550000000000004</v>
      </c>
      <c r="N36" s="116">
        <v>48.55</v>
      </c>
      <c r="O36" s="51"/>
      <c r="P36" s="191">
        <f t="shared" si="54"/>
        <v>9789.2079866421518</v>
      </c>
      <c r="Q36" s="191">
        <f t="shared" si="55"/>
        <v>20174.968327723658</v>
      </c>
      <c r="R36" s="191">
        <f t="shared" si="56"/>
        <v>7742.9488224402457</v>
      </c>
      <c r="S36" s="191">
        <f t="shared" si="57"/>
        <v>37707.125136806055</v>
      </c>
      <c r="T36" s="17"/>
      <c r="U36" s="5" t="s">
        <v>523</v>
      </c>
      <c r="V36" s="225" t="s">
        <v>178</v>
      </c>
      <c r="W36" s="191">
        <v>3506.105148152772</v>
      </c>
      <c r="X36" s="191">
        <v>2991.962805001695</v>
      </c>
      <c r="Y36" s="191">
        <v>5695.3370461554823</v>
      </c>
      <c r="Z36" s="191">
        <f t="shared" si="39"/>
        <v>12193.404999309949</v>
      </c>
      <c r="AA36" s="51"/>
      <c r="AB36" s="191">
        <f t="shared" si="58"/>
        <v>3304.47367571936</v>
      </c>
      <c r="AC36" s="191">
        <f t="shared" si="58"/>
        <v>2576.4124789929688</v>
      </c>
      <c r="AD36" s="191">
        <f t="shared" si="58"/>
        <v>5535.8530333348799</v>
      </c>
      <c r="AE36" s="191">
        <f t="shared" si="59"/>
        <v>11416.73918804721</v>
      </c>
      <c r="AF36" s="191"/>
      <c r="AG36" s="248">
        <f t="shared" si="60"/>
        <v>48.55</v>
      </c>
      <c r="AH36" s="248">
        <f t="shared" si="60"/>
        <v>48.550000000000004</v>
      </c>
      <c r="AI36" s="248">
        <f t="shared" si="60"/>
        <v>48.55</v>
      </c>
      <c r="AJ36" s="51"/>
      <c r="AK36" s="130">
        <f t="shared" si="61"/>
        <v>160432.19695617491</v>
      </c>
      <c r="AL36" s="130">
        <f t="shared" si="61"/>
        <v>125084.82585510865</v>
      </c>
      <c r="AM36" s="130">
        <f t="shared" si="61"/>
        <v>268765.6647684084</v>
      </c>
      <c r="AN36" s="130">
        <f t="shared" si="62"/>
        <v>554282.68757969199</v>
      </c>
      <c r="AO36" s="191"/>
      <c r="AP36" s="233"/>
      <c r="AQ36" s="233"/>
      <c r="AR36" s="233"/>
      <c r="AS36" s="233"/>
      <c r="AT36" s="233"/>
      <c r="AU36" s="219"/>
      <c r="AV36" s="219"/>
      <c r="AW36" s="219"/>
      <c r="AY36" s="116"/>
      <c r="AZ36" s="116"/>
      <c r="BA36" s="116"/>
      <c r="BD36" s="1"/>
      <c r="BE36" s="1"/>
      <c r="BF36" s="1"/>
      <c r="BG36" s="221"/>
      <c r="BH36" s="5"/>
      <c r="BI36" s="349">
        <f t="shared" si="16"/>
        <v>-16.388679980555363</v>
      </c>
      <c r="BJ36" s="349">
        <f t="shared" si="17"/>
        <v>-6.2000011015245029</v>
      </c>
      <c r="BK36" s="349">
        <f t="shared" si="36"/>
        <v>-34.711021722045295</v>
      </c>
      <c r="BL36" s="349">
        <f t="shared" si="19"/>
        <v>-14.699680380529854</v>
      </c>
      <c r="BM36" s="5"/>
      <c r="BN36" s="240">
        <f t="shared" si="43"/>
        <v>201.631472433412</v>
      </c>
      <c r="BO36" s="240">
        <f t="shared" si="44"/>
        <v>415.55032600872619</v>
      </c>
      <c r="BP36" s="240">
        <f t="shared" si="45"/>
        <v>159.4840128206024</v>
      </c>
      <c r="BQ36" s="240">
        <f t="shared" si="37"/>
        <v>776.66581126274059</v>
      </c>
      <c r="BS36" s="264">
        <f t="shared" si="63"/>
        <v>48.55</v>
      </c>
      <c r="BT36" s="264">
        <f t="shared" si="64"/>
        <v>48.550000000000004</v>
      </c>
      <c r="BU36" s="264">
        <f t="shared" si="65"/>
        <v>48.55</v>
      </c>
      <c r="BV36" s="264">
        <f t="shared" si="66"/>
        <v>48.55</v>
      </c>
      <c r="BX36" s="264">
        <f t="shared" si="46"/>
        <v>48.55</v>
      </c>
      <c r="BY36" s="264">
        <f t="shared" si="47"/>
        <v>48.550000000000004</v>
      </c>
      <c r="BZ36" s="264">
        <f t="shared" si="48"/>
        <v>48.55</v>
      </c>
      <c r="CA36" s="264">
        <f t="shared" si="49"/>
        <v>48.55</v>
      </c>
      <c r="CC36" s="221">
        <f t="shared" si="50"/>
        <v>9789.2079866421518</v>
      </c>
      <c r="CD36" s="221">
        <f t="shared" si="51"/>
        <v>20174.968327723658</v>
      </c>
      <c r="CE36" s="221">
        <f t="shared" si="52"/>
        <v>7742.9488224402457</v>
      </c>
      <c r="CF36" s="221">
        <f t="shared" si="53"/>
        <v>37707.125136806055</v>
      </c>
    </row>
    <row r="37" spans="2:85">
      <c r="B37" s="17"/>
      <c r="C37" s="38" t="s">
        <v>148</v>
      </c>
      <c r="D37" s="37" t="s">
        <v>255</v>
      </c>
      <c r="G37" s="191">
        <v>20644.363654471883</v>
      </c>
      <c r="H37" s="191">
        <v>32433.40982316939</v>
      </c>
      <c r="I37" s="191">
        <v>6921.9195493771931</v>
      </c>
      <c r="J37" s="334">
        <f t="shared" si="38"/>
        <v>59999.69302701846</v>
      </c>
      <c r="K37" s="128"/>
      <c r="L37" s="308">
        <v>111.34355725743856</v>
      </c>
      <c r="M37" s="308">
        <v>104.4330788124533</v>
      </c>
      <c r="N37" s="116">
        <v>106.84</v>
      </c>
      <c r="O37" s="51"/>
      <c r="P37" s="191">
        <f t="shared" si="54"/>
        <v>2298616.8866050737</v>
      </c>
      <c r="Q37" s="191">
        <f t="shared" si="55"/>
        <v>3387120.844219646</v>
      </c>
      <c r="R37" s="191">
        <f t="shared" si="56"/>
        <v>739537.88465545932</v>
      </c>
      <c r="S37" s="191">
        <f t="shared" si="57"/>
        <v>6425275.615480179</v>
      </c>
      <c r="T37" s="17"/>
      <c r="U37" s="225" t="s">
        <v>179</v>
      </c>
      <c r="V37" s="226" t="s">
        <v>444</v>
      </c>
      <c r="W37" s="191">
        <v>20644.363654471883</v>
      </c>
      <c r="X37" s="191">
        <v>32433.40982316939</v>
      </c>
      <c r="Y37" s="191">
        <v>6921.9195493771931</v>
      </c>
      <c r="Z37" s="191">
        <f t="shared" si="39"/>
        <v>59999.69302701846</v>
      </c>
      <c r="AA37" s="51"/>
      <c r="AB37" s="51"/>
      <c r="AC37" s="51"/>
      <c r="AD37" s="51"/>
      <c r="AE37" s="51"/>
      <c r="AF37" s="191"/>
      <c r="AG37" s="191"/>
      <c r="AH37" s="191"/>
      <c r="AI37" s="191"/>
      <c r="AJ37" s="51"/>
      <c r="AK37" s="130"/>
      <c r="AL37" s="130"/>
      <c r="AM37" s="130"/>
      <c r="AN37" s="130"/>
      <c r="AO37" s="191"/>
      <c r="AP37" s="233"/>
      <c r="AQ37" s="233"/>
      <c r="AR37" s="233"/>
      <c r="AS37" s="233"/>
      <c r="AT37" s="233"/>
      <c r="AU37" s="219"/>
      <c r="AV37" s="219"/>
      <c r="AW37" s="219"/>
      <c r="AY37" s="116"/>
      <c r="AZ37" s="116"/>
      <c r="BA37" s="116"/>
      <c r="BD37" s="1"/>
      <c r="BE37" s="1"/>
      <c r="BF37" s="1"/>
      <c r="BG37" s="221"/>
      <c r="BH37" s="330"/>
      <c r="BI37" s="330"/>
      <c r="BJ37" s="330"/>
      <c r="BK37" s="330"/>
      <c r="BL37" s="330"/>
      <c r="BM37" s="5"/>
      <c r="BN37" s="240">
        <f t="shared" si="43"/>
        <v>20644.363654471883</v>
      </c>
      <c r="BO37" s="240">
        <f t="shared" si="44"/>
        <v>32433.40982316939</v>
      </c>
      <c r="BP37" s="240">
        <f t="shared" si="45"/>
        <v>6921.9195493771931</v>
      </c>
      <c r="BQ37" s="240">
        <f t="shared" si="37"/>
        <v>59999.69302701846</v>
      </c>
      <c r="BS37" s="264">
        <f t="shared" si="63"/>
        <v>111.34355725743856</v>
      </c>
      <c r="BT37" s="264">
        <f t="shared" si="64"/>
        <v>104.4330788124533</v>
      </c>
      <c r="BU37" s="264">
        <f t="shared" si="65"/>
        <v>106.84</v>
      </c>
      <c r="BV37" s="264">
        <f t="shared" si="66"/>
        <v>107.08847481247635</v>
      </c>
      <c r="BX37" s="264">
        <f t="shared" si="46"/>
        <v>111.34355725743856</v>
      </c>
      <c r="BY37" s="264">
        <f t="shared" si="47"/>
        <v>104.4330788124533</v>
      </c>
      <c r="BZ37" s="264">
        <f t="shared" si="48"/>
        <v>106.84</v>
      </c>
      <c r="CA37" s="264">
        <f t="shared" si="49"/>
        <v>107.08847481247635</v>
      </c>
      <c r="CC37" s="221">
        <f t="shared" si="50"/>
        <v>2298616.8866050737</v>
      </c>
      <c r="CD37" s="221">
        <f t="shared" si="51"/>
        <v>3387120.844219646</v>
      </c>
      <c r="CE37" s="221">
        <f t="shared" si="52"/>
        <v>739537.88465545932</v>
      </c>
      <c r="CF37" s="221">
        <f t="shared" si="53"/>
        <v>6425275.615480179</v>
      </c>
    </row>
    <row r="38" spans="2:85">
      <c r="B38" s="17"/>
      <c r="C38" s="38" t="s">
        <v>89</v>
      </c>
      <c r="D38" s="37" t="s">
        <v>107</v>
      </c>
      <c r="G38" s="191">
        <v>755.51977508935306</v>
      </c>
      <c r="H38" s="191">
        <v>2003.1246358252829</v>
      </c>
      <c r="I38" s="191">
        <v>7721.8719526795594</v>
      </c>
      <c r="J38" s="334">
        <f t="shared" si="38"/>
        <v>10480.516363594195</v>
      </c>
      <c r="K38" s="128"/>
      <c r="L38" s="308">
        <v>112.82318494448573</v>
      </c>
      <c r="M38" s="308">
        <v>104.1336143104833</v>
      </c>
      <c r="N38" s="116">
        <v>106.84</v>
      </c>
      <c r="O38" s="51"/>
      <c r="P38" s="191">
        <f t="shared" si="54"/>
        <v>85240.14731412234</v>
      </c>
      <c r="Q38" s="191">
        <f t="shared" si="55"/>
        <v>208592.60824285733</v>
      </c>
      <c r="R38" s="191">
        <f t="shared" si="56"/>
        <v>825004.79942428414</v>
      </c>
      <c r="S38" s="191">
        <f t="shared" si="57"/>
        <v>1118837.5549812638</v>
      </c>
      <c r="T38" s="17"/>
      <c r="U38" s="225" t="s">
        <v>121</v>
      </c>
      <c r="V38" s="226" t="s">
        <v>443</v>
      </c>
      <c r="W38" s="191">
        <v>755.51977508935306</v>
      </c>
      <c r="X38" s="191">
        <v>2003.1246358252829</v>
      </c>
      <c r="Y38" s="191">
        <v>7721.8719526795594</v>
      </c>
      <c r="Z38" s="191">
        <f t="shared" si="39"/>
        <v>10480.516363594195</v>
      </c>
      <c r="AA38" s="51"/>
      <c r="AB38" s="51"/>
      <c r="AC38" s="51"/>
      <c r="AD38" s="51"/>
      <c r="AE38" s="51"/>
      <c r="AF38" s="191"/>
      <c r="AG38" s="191"/>
      <c r="AH38" s="191"/>
      <c r="AI38" s="191"/>
      <c r="AJ38" s="51"/>
      <c r="AK38" s="130"/>
      <c r="AL38" s="130"/>
      <c r="AM38" s="130"/>
      <c r="AN38" s="130"/>
      <c r="AO38" s="191"/>
      <c r="AP38" s="233"/>
      <c r="AQ38" s="233"/>
      <c r="AR38" s="233"/>
      <c r="AS38" s="233"/>
      <c r="AT38" s="233"/>
      <c r="AU38" s="219"/>
      <c r="AV38" s="219"/>
      <c r="AW38" s="219"/>
      <c r="AY38" s="116"/>
      <c r="AZ38" s="116"/>
      <c r="BA38" s="116"/>
      <c r="BD38" s="1"/>
      <c r="BE38" s="1"/>
      <c r="BF38" s="1"/>
      <c r="BG38" s="221"/>
      <c r="BH38" s="330"/>
      <c r="BI38" s="330"/>
      <c r="BJ38" s="330"/>
      <c r="BK38" s="330"/>
      <c r="BL38" s="330"/>
      <c r="BM38" s="5"/>
      <c r="BN38" s="240">
        <f t="shared" si="43"/>
        <v>755.51977508935306</v>
      </c>
      <c r="BO38" s="240">
        <f t="shared" si="44"/>
        <v>2003.1246358252829</v>
      </c>
      <c r="BP38" s="240">
        <f t="shared" si="45"/>
        <v>7721.8719526795594</v>
      </c>
      <c r="BQ38" s="240">
        <f t="shared" si="37"/>
        <v>10480.516363594195</v>
      </c>
      <c r="BS38" s="264">
        <f t="shared" si="63"/>
        <v>112.82318494448573</v>
      </c>
      <c r="BT38" s="264">
        <f t="shared" si="64"/>
        <v>104.1336143104833</v>
      </c>
      <c r="BU38" s="264">
        <f t="shared" si="65"/>
        <v>106.84</v>
      </c>
      <c r="BV38" s="264">
        <f t="shared" si="66"/>
        <v>106.75404876688432</v>
      </c>
      <c r="BX38" s="264">
        <f t="shared" si="46"/>
        <v>112.82318494448573</v>
      </c>
      <c r="BY38" s="264">
        <f t="shared" si="47"/>
        <v>104.1336143104833</v>
      </c>
      <c r="BZ38" s="264">
        <f t="shared" si="48"/>
        <v>106.84</v>
      </c>
      <c r="CA38" s="264">
        <f t="shared" si="49"/>
        <v>106.75404876688432</v>
      </c>
      <c r="CC38" s="221">
        <f t="shared" si="50"/>
        <v>85240.14731412234</v>
      </c>
      <c r="CD38" s="221">
        <f t="shared" si="51"/>
        <v>208592.60824285733</v>
      </c>
      <c r="CE38" s="221">
        <f t="shared" si="52"/>
        <v>825004.79942428414</v>
      </c>
      <c r="CF38" s="221">
        <f t="shared" si="53"/>
        <v>1118837.5549812638</v>
      </c>
    </row>
    <row r="39" spans="2:85">
      <c r="B39" s="17"/>
      <c r="C39" s="5" t="s">
        <v>257</v>
      </c>
      <c r="D39" s="38" t="s">
        <v>326</v>
      </c>
      <c r="G39" s="191">
        <v>32911.338985626855</v>
      </c>
      <c r="H39" s="191">
        <v>6948.3876391959402</v>
      </c>
      <c r="I39" s="191">
        <v>0</v>
      </c>
      <c r="J39" s="334">
        <f t="shared" si="38"/>
        <v>39859.726624822797</v>
      </c>
      <c r="K39" s="128"/>
      <c r="L39" s="308">
        <v>55.625</v>
      </c>
      <c r="M39" s="308">
        <v>52.01</v>
      </c>
      <c r="N39" s="116"/>
      <c r="O39" s="51"/>
      <c r="P39" s="191">
        <f t="shared" si="54"/>
        <v>1830693.2310754939</v>
      </c>
      <c r="Q39" s="191">
        <f t="shared" si="55"/>
        <v>361385.64111458085</v>
      </c>
      <c r="R39" s="191">
        <f t="shared" si="56"/>
        <v>0</v>
      </c>
      <c r="S39" s="191">
        <f t="shared" si="57"/>
        <v>2192078.8721900745</v>
      </c>
      <c r="T39" s="17"/>
      <c r="U39" s="5" t="s">
        <v>147</v>
      </c>
      <c r="V39" s="225" t="s">
        <v>312</v>
      </c>
      <c r="W39" s="191">
        <v>32911.338985626855</v>
      </c>
      <c r="X39" s="191">
        <v>6948.3876391959402</v>
      </c>
      <c r="Y39" s="191">
        <v>0</v>
      </c>
      <c r="Z39" s="191">
        <f t="shared" si="39"/>
        <v>39859.726624822797</v>
      </c>
      <c r="AA39" s="51"/>
      <c r="AB39" s="51"/>
      <c r="AC39" s="51"/>
      <c r="AD39" s="51"/>
      <c r="AE39" s="51"/>
      <c r="AF39" s="191"/>
      <c r="AG39" s="191"/>
      <c r="AH39" s="191"/>
      <c r="AI39" s="191"/>
      <c r="AJ39" s="51"/>
      <c r="AK39" s="130"/>
      <c r="AL39" s="130"/>
      <c r="AM39" s="130"/>
      <c r="AN39" s="130"/>
      <c r="AO39" s="191"/>
      <c r="AP39" s="233"/>
      <c r="AQ39" s="233"/>
      <c r="AR39" s="233"/>
      <c r="AS39" s="233"/>
      <c r="AT39" s="233"/>
      <c r="AU39" s="219"/>
      <c r="AV39" s="219"/>
      <c r="AW39" s="219"/>
      <c r="AY39" s="116"/>
      <c r="AZ39" s="116"/>
      <c r="BA39" s="116"/>
      <c r="BD39" s="1"/>
      <c r="BE39" s="1"/>
      <c r="BF39" s="1"/>
      <c r="BG39" s="221"/>
      <c r="BH39" s="330"/>
      <c r="BI39" s="330"/>
      <c r="BJ39" s="330"/>
      <c r="BK39" s="330"/>
      <c r="BL39" s="330"/>
      <c r="BM39" s="5"/>
      <c r="BN39" s="240">
        <f t="shared" si="43"/>
        <v>32911.338985626855</v>
      </c>
      <c r="BO39" s="240">
        <f t="shared" si="44"/>
        <v>6948.3876391959402</v>
      </c>
      <c r="BP39" s="240">
        <f t="shared" si="45"/>
        <v>0</v>
      </c>
      <c r="BQ39" s="240">
        <f t="shared" si="37"/>
        <v>39859.726624822797</v>
      </c>
      <c r="BS39" s="264">
        <f t="shared" si="63"/>
        <v>55.625</v>
      </c>
      <c r="BT39" s="264">
        <f t="shared" si="64"/>
        <v>52.01</v>
      </c>
      <c r="BU39" s="264"/>
      <c r="BV39" s="264">
        <f t="shared" si="66"/>
        <v>54.994829563756944</v>
      </c>
      <c r="BX39" s="264">
        <f>CC39/G39</f>
        <v>55.625</v>
      </c>
      <c r="BY39" s="264">
        <f>CD39/H39</f>
        <v>52.01</v>
      </c>
      <c r="BZ39" s="264"/>
      <c r="CA39" s="264">
        <f>CF39/J39</f>
        <v>54.994829563756944</v>
      </c>
      <c r="CC39" s="221">
        <f>P39+BD39</f>
        <v>1830693.2310754939</v>
      </c>
      <c r="CD39" s="221">
        <f>Q39+BE39</f>
        <v>361385.64111458085</v>
      </c>
      <c r="CE39" s="221"/>
      <c r="CF39" s="221">
        <f t="shared" si="53"/>
        <v>2192078.8721900745</v>
      </c>
    </row>
    <row r="40" spans="2:85">
      <c r="B40" s="17"/>
      <c r="C40" s="37" t="s">
        <v>467</v>
      </c>
      <c r="D40" s="37" t="s">
        <v>246</v>
      </c>
      <c r="G40" s="191"/>
      <c r="H40" s="191"/>
      <c r="I40" s="191">
        <v>10810</v>
      </c>
      <c r="J40" s="334">
        <f t="shared" si="38"/>
        <v>10810</v>
      </c>
      <c r="K40" s="128"/>
      <c r="L40" s="308"/>
      <c r="M40" s="308"/>
      <c r="N40" s="116">
        <v>153.28962840000003</v>
      </c>
      <c r="O40" s="51"/>
      <c r="P40" s="191">
        <f t="shared" si="54"/>
        <v>0</v>
      </c>
      <c r="Q40" s="191">
        <f t="shared" si="55"/>
        <v>0</v>
      </c>
      <c r="R40" s="191">
        <f t="shared" si="56"/>
        <v>1657060.8830040002</v>
      </c>
      <c r="S40" s="191">
        <f t="shared" si="57"/>
        <v>1657060.8830040002</v>
      </c>
      <c r="T40" s="17" t="s">
        <v>424</v>
      </c>
      <c r="U40" s="226" t="s">
        <v>559</v>
      </c>
      <c r="V40" s="226" t="s">
        <v>286</v>
      </c>
      <c r="W40" s="191"/>
      <c r="X40" s="191"/>
      <c r="Y40" s="191">
        <v>10810</v>
      </c>
      <c r="Z40" s="191">
        <f t="shared" si="39"/>
        <v>10810</v>
      </c>
      <c r="AA40" s="51"/>
      <c r="AB40" s="51"/>
      <c r="AC40" s="51"/>
      <c r="AD40" s="51"/>
      <c r="AE40" s="51"/>
      <c r="AF40" s="191"/>
      <c r="AG40" s="191"/>
      <c r="AH40" s="191"/>
      <c r="AI40" s="191"/>
      <c r="AJ40" s="51"/>
      <c r="AK40" s="130"/>
      <c r="AL40" s="130"/>
      <c r="AM40" s="130"/>
      <c r="AN40" s="130"/>
      <c r="AO40" s="191"/>
      <c r="AP40" s="233"/>
      <c r="AQ40" s="233"/>
      <c r="AR40" s="233"/>
      <c r="AS40" s="233"/>
      <c r="AT40" s="233"/>
      <c r="AU40" s="219"/>
      <c r="AV40" s="219"/>
      <c r="AW40" s="219"/>
      <c r="AY40" s="116"/>
      <c r="AZ40" s="116"/>
      <c r="BA40" s="116"/>
      <c r="BD40" s="1"/>
      <c r="BE40" s="1"/>
      <c r="BF40" s="1"/>
      <c r="BG40" s="221"/>
      <c r="BH40" s="330"/>
      <c r="BI40" s="330"/>
      <c r="BJ40" s="330"/>
      <c r="BK40" s="349">
        <f>(AR40-AD40)/I40</f>
        <v>0</v>
      </c>
      <c r="BL40" s="349">
        <f>(AS40-AE40)/J40</f>
        <v>0</v>
      </c>
      <c r="BM40" s="5"/>
      <c r="BN40" s="239"/>
      <c r="BO40" s="239"/>
      <c r="BP40" s="240">
        <f>I40+AR40</f>
        <v>10810</v>
      </c>
      <c r="BQ40" s="240">
        <f>BN40+BO40+BP40</f>
        <v>10810</v>
      </c>
      <c r="BS40" s="51"/>
      <c r="BT40" s="51"/>
      <c r="BU40" s="264">
        <f t="shared" si="65"/>
        <v>153.28962840000003</v>
      </c>
      <c r="BV40" s="264">
        <f t="shared" si="66"/>
        <v>153.28962840000003</v>
      </c>
      <c r="BZ40" s="264">
        <f>CE40/I40</f>
        <v>153.28962840000003</v>
      </c>
      <c r="CA40" s="264">
        <f>CF40/J40</f>
        <v>153.28962840000003</v>
      </c>
      <c r="CC40" s="221"/>
      <c r="CD40" s="221"/>
      <c r="CE40" s="221">
        <f>R40+BF40</f>
        <v>1657060.8830040002</v>
      </c>
      <c r="CF40" s="221">
        <f t="shared" si="53"/>
        <v>1657060.8830040002</v>
      </c>
    </row>
    <row r="41" spans="2:85">
      <c r="B41" s="17" t="s">
        <v>373</v>
      </c>
      <c r="C41" s="37" t="s">
        <v>507</v>
      </c>
      <c r="D41" s="37" t="s">
        <v>79</v>
      </c>
      <c r="G41" s="191"/>
      <c r="H41" s="191"/>
      <c r="I41" s="191">
        <v>690</v>
      </c>
      <c r="J41" s="334">
        <f t="shared" si="38"/>
        <v>690</v>
      </c>
      <c r="K41" s="128"/>
      <c r="L41" s="116"/>
      <c r="M41" s="116"/>
      <c r="N41" s="116">
        <v>153.28962840000003</v>
      </c>
      <c r="O41" s="51"/>
      <c r="P41" s="191">
        <f t="shared" si="54"/>
        <v>0</v>
      </c>
      <c r="Q41" s="191">
        <f t="shared" si="55"/>
        <v>0</v>
      </c>
      <c r="R41" s="191">
        <f t="shared" si="56"/>
        <v>105769.84359600002</v>
      </c>
      <c r="S41" s="191">
        <f t="shared" si="57"/>
        <v>105769.84359600002</v>
      </c>
      <c r="T41" s="17" t="s">
        <v>400</v>
      </c>
      <c r="U41" s="37" t="s">
        <v>287</v>
      </c>
      <c r="V41" s="37" t="s">
        <v>288</v>
      </c>
      <c r="W41" s="191"/>
      <c r="X41" s="191"/>
      <c r="Y41" s="191">
        <v>690</v>
      </c>
      <c r="Z41" s="191">
        <f t="shared" si="39"/>
        <v>690</v>
      </c>
      <c r="AA41" s="51"/>
      <c r="AB41" s="51"/>
      <c r="AC41" s="51"/>
      <c r="AD41" s="51"/>
      <c r="AE41" s="51"/>
      <c r="AF41" s="191"/>
      <c r="AG41" s="191"/>
      <c r="AH41" s="191"/>
      <c r="AI41" s="191"/>
      <c r="AJ41" s="51"/>
      <c r="AK41" s="130"/>
      <c r="AL41" s="130"/>
      <c r="AM41" s="130"/>
      <c r="AN41" s="130"/>
      <c r="AO41" s="191"/>
      <c r="AP41" s="233"/>
      <c r="AQ41" s="233"/>
      <c r="AR41" s="233"/>
      <c r="AS41" s="233"/>
      <c r="AT41" s="233"/>
      <c r="AU41" s="219"/>
      <c r="AV41" s="219"/>
      <c r="AW41" s="219"/>
      <c r="AY41" s="116"/>
      <c r="AZ41" s="116"/>
      <c r="BA41" s="116"/>
      <c r="BD41" s="1"/>
      <c r="BE41" s="1"/>
      <c r="BF41" s="1"/>
      <c r="BG41" s="221"/>
      <c r="BH41" s="330"/>
      <c r="BI41" s="330"/>
      <c r="BJ41" s="330"/>
      <c r="BK41" s="349">
        <f>(AR41-AD41)/I41</f>
        <v>0</v>
      </c>
      <c r="BL41" s="349">
        <f>(AS41-AE41)/J41</f>
        <v>0</v>
      </c>
      <c r="BM41" s="5"/>
      <c r="BN41" s="239"/>
      <c r="BO41" s="239"/>
      <c r="BP41" s="240">
        <f>I41+AR41</f>
        <v>690</v>
      </c>
      <c r="BQ41" s="240">
        <f>BN41+BO41+BP41</f>
        <v>690</v>
      </c>
      <c r="BS41" s="51"/>
      <c r="BT41" s="51"/>
      <c r="BU41" s="264">
        <f t="shared" si="65"/>
        <v>153.28962840000003</v>
      </c>
      <c r="BV41" s="264">
        <f t="shared" si="66"/>
        <v>153.28962840000003</v>
      </c>
      <c r="BZ41" s="264">
        <f>CE41/I41</f>
        <v>153.28962840000003</v>
      </c>
      <c r="CA41" s="264">
        <f>CF41/J41</f>
        <v>153.28962840000003</v>
      </c>
      <c r="CC41" s="221"/>
      <c r="CD41" s="221"/>
      <c r="CE41" s="221">
        <f>R41+BF41</f>
        <v>105769.84359600002</v>
      </c>
      <c r="CF41" s="221">
        <f t="shared" si="53"/>
        <v>105769.84359600002</v>
      </c>
    </row>
    <row r="42" spans="2:85">
      <c r="B42" s="18" t="s">
        <v>116</v>
      </c>
      <c r="C42" s="5" t="s">
        <v>254</v>
      </c>
      <c r="D42" s="38" t="s">
        <v>556</v>
      </c>
      <c r="G42" s="239">
        <v>780.82950551405679</v>
      </c>
      <c r="H42" s="126">
        <f>0.35*X42/0.9</f>
        <v>6316.5595146260684</v>
      </c>
      <c r="I42" s="126">
        <f>0.35*Y42/0.9</f>
        <v>88938.200800044797</v>
      </c>
      <c r="J42" s="334">
        <f t="shared" si="38"/>
        <v>96035.58982018492</v>
      </c>
      <c r="K42" s="128"/>
      <c r="L42" s="116">
        <v>59.049078565500004</v>
      </c>
      <c r="M42" s="116">
        <v>48.07188</v>
      </c>
      <c r="N42" s="116">
        <v>45.54</v>
      </c>
      <c r="O42" s="51"/>
      <c r="P42" s="191">
        <f t="shared" si="54"/>
        <v>46107.262817360061</v>
      </c>
      <c r="Q42" s="126">
        <f t="shared" si="55"/>
        <v>303648.89099996263</v>
      </c>
      <c r="R42" s="126">
        <f t="shared" si="56"/>
        <v>4050245.66443404</v>
      </c>
      <c r="S42" s="191">
        <f t="shared" si="57"/>
        <v>4400001.818251363</v>
      </c>
      <c r="T42" s="18" t="s">
        <v>401</v>
      </c>
      <c r="U42" s="5" t="s">
        <v>61</v>
      </c>
      <c r="V42" s="38" t="s">
        <v>437</v>
      </c>
      <c r="W42" s="191">
        <v>2230.9414443258765</v>
      </c>
      <c r="X42" s="126">
        <v>16242.581609038461</v>
      </c>
      <c r="Y42" s="126">
        <v>228698.23062868664</v>
      </c>
      <c r="Z42" s="191">
        <f t="shared" si="39"/>
        <v>247171.75368205097</v>
      </c>
      <c r="AA42" s="51"/>
      <c r="AB42" s="191">
        <f>W42-G42</f>
        <v>1450.1119388118198</v>
      </c>
      <c r="AC42" s="191">
        <f>X42-H42</f>
        <v>9926.0220944123939</v>
      </c>
      <c r="AD42" s="191">
        <f>Y42-I42</f>
        <v>139760.02982864185</v>
      </c>
      <c r="AE42" s="191">
        <f t="shared" si="59"/>
        <v>151136.16386186608</v>
      </c>
      <c r="AF42" s="191"/>
      <c r="AG42" s="248">
        <f>L42</f>
        <v>59.049078565500004</v>
      </c>
      <c r="AH42" s="248">
        <f>M42</f>
        <v>48.07188</v>
      </c>
      <c r="AI42" s="248">
        <f>N42</f>
        <v>45.54</v>
      </c>
      <c r="AJ42" s="51"/>
      <c r="AK42" s="130">
        <f>AB42*AG42</f>
        <v>85627.773803668679</v>
      </c>
      <c r="AL42" s="130">
        <f>AC42*AH42</f>
        <v>477162.54299994127</v>
      </c>
      <c r="AM42" s="130">
        <f>AD42*AI42</f>
        <v>6364671.7583963498</v>
      </c>
      <c r="AN42" s="130">
        <f t="shared" si="62"/>
        <v>6927462.0751999598</v>
      </c>
      <c r="AO42" s="191"/>
      <c r="AP42" s="246">
        <f>AB42</f>
        <v>1450.1119388118198</v>
      </c>
      <c r="AQ42" s="246">
        <f>AC42</f>
        <v>9926.0220944123939</v>
      </c>
      <c r="AR42" s="246">
        <f>AD42</f>
        <v>139760.02982864185</v>
      </c>
      <c r="AS42" s="231">
        <f t="shared" si="12"/>
        <v>151136.16386186608</v>
      </c>
      <c r="AT42" s="246"/>
      <c r="AU42" s="219">
        <f>AP42/G42</f>
        <v>1.8571428571428572</v>
      </c>
      <c r="AV42" s="219">
        <f>AQ42/H42</f>
        <v>1.5714285714285716</v>
      </c>
      <c r="AW42" s="219">
        <f>AR42/I42</f>
        <v>1.5714285714285718</v>
      </c>
      <c r="AY42" s="243">
        <f>AG42</f>
        <v>59.049078565500004</v>
      </c>
      <c r="AZ42" s="248">
        <f>AH42</f>
        <v>48.07188</v>
      </c>
      <c r="BA42" s="248">
        <f>AI42</f>
        <v>45.54</v>
      </c>
      <c r="BD42" s="221">
        <f>AP42*AY42</f>
        <v>85627.773803668679</v>
      </c>
      <c r="BE42" s="221">
        <f>AQ42*AZ42</f>
        <v>477162.54299994127</v>
      </c>
      <c r="BF42" s="221">
        <f>AR42*BA42</f>
        <v>6364671.7583963498</v>
      </c>
      <c r="BG42" s="221">
        <f>BD42+BE42+BF42</f>
        <v>6927462.0751999598</v>
      </c>
      <c r="BH42" s="5"/>
      <c r="BI42" s="349">
        <f t="shared" si="16"/>
        <v>0</v>
      </c>
      <c r="BJ42" s="349">
        <f t="shared" si="17"/>
        <v>0</v>
      </c>
      <c r="BK42" s="349">
        <f>(AR42-AD42)/I42</f>
        <v>0</v>
      </c>
      <c r="BL42" s="349">
        <f t="shared" si="19"/>
        <v>0</v>
      </c>
      <c r="BM42" s="5"/>
      <c r="BN42" s="240">
        <f>G42+AP42</f>
        <v>2230.9414443258765</v>
      </c>
      <c r="BO42" s="240">
        <f>H42+AQ42</f>
        <v>16242.581609038461</v>
      </c>
      <c r="BP42" s="240">
        <f>I42+AR42</f>
        <v>228698.23062868667</v>
      </c>
      <c r="BQ42" s="240">
        <f>BN42+BO42+BP42</f>
        <v>247171.753682051</v>
      </c>
      <c r="BS42" s="264">
        <f t="shared" si="63"/>
        <v>59.049078565500004</v>
      </c>
      <c r="BT42" s="264">
        <f t="shared" si="64"/>
        <v>48.071880000000007</v>
      </c>
      <c r="BU42" s="264">
        <f t="shared" si="65"/>
        <v>45.54</v>
      </c>
      <c r="BV42" s="264">
        <f t="shared" si="66"/>
        <v>45.828310576387253</v>
      </c>
      <c r="BX42" s="264">
        <f>CC42/G42</f>
        <v>168.71165304428573</v>
      </c>
      <c r="BY42" s="264">
        <f>CD42/H42</f>
        <v>123.61340571428573</v>
      </c>
      <c r="BZ42" s="264">
        <f>CE42/I42</f>
        <v>117.10285714285716</v>
      </c>
      <c r="CA42" s="264">
        <f>CF42/J42</f>
        <v>117.95068801743848</v>
      </c>
      <c r="CC42" s="221">
        <f>P42+BD42</f>
        <v>131735.03662102873</v>
      </c>
      <c r="CD42" s="221">
        <f>Q42+BE42</f>
        <v>780811.43399990397</v>
      </c>
      <c r="CE42" s="221">
        <f>R42+BF42</f>
        <v>10414917.42283039</v>
      </c>
      <c r="CF42" s="221">
        <f t="shared" si="53"/>
        <v>11327463.893451322</v>
      </c>
    </row>
    <row r="43" spans="2:85">
      <c r="B43" s="122"/>
      <c r="C43" s="5"/>
      <c r="D43" s="38"/>
      <c r="G43" s="1"/>
      <c r="H43" s="135"/>
      <c r="I43" s="1"/>
      <c r="J43" s="90"/>
      <c r="K43" s="129"/>
      <c r="L43" s="89"/>
      <c r="M43" s="89"/>
      <c r="N43" s="89"/>
      <c r="O43" s="51"/>
      <c r="P43" s="130"/>
      <c r="Q43" s="130"/>
      <c r="R43" s="130"/>
      <c r="S43" s="130"/>
      <c r="T43" s="51"/>
      <c r="U43" s="51"/>
      <c r="V43" s="51"/>
      <c r="W43" s="191"/>
      <c r="X43" s="191"/>
      <c r="Y43" s="191"/>
      <c r="Z43" s="191"/>
      <c r="AA43" s="51"/>
      <c r="AB43" s="90"/>
      <c r="AC43" s="90"/>
      <c r="AD43" s="90"/>
      <c r="AE43" s="90"/>
      <c r="AF43" s="191"/>
      <c r="AG43" s="243"/>
      <c r="AH43" s="243"/>
      <c r="AI43" s="243"/>
      <c r="AJ43" s="51"/>
      <c r="AK43" s="123"/>
      <c r="AL43" s="123"/>
      <c r="AM43" s="123"/>
      <c r="AN43" s="125"/>
      <c r="AO43" s="90"/>
      <c r="AU43" s="109"/>
      <c r="AV43" s="219"/>
      <c r="AW43" s="219"/>
      <c r="AY43" s="116"/>
      <c r="AZ43" s="116"/>
      <c r="BA43" s="116"/>
      <c r="BD43" s="117"/>
      <c r="BE43" s="117"/>
      <c r="BF43" s="117"/>
      <c r="BH43" s="330"/>
      <c r="BI43" s="330"/>
      <c r="BJ43" s="330"/>
      <c r="BK43" s="330"/>
      <c r="BL43" s="330"/>
      <c r="BM43" s="317"/>
    </row>
    <row r="44" spans="2:85">
      <c r="B44" s="22"/>
      <c r="C44" s="5"/>
      <c r="D44" s="5"/>
      <c r="E44" s="5"/>
      <c r="F44" s="329" t="s">
        <v>26</v>
      </c>
      <c r="G44" s="128">
        <f>G46-G25-G26-SUM(G39:G42)</f>
        <v>95376.558591708759</v>
      </c>
      <c r="H44" s="128">
        <f>H46-H25-H26-SUM(H39:H42)</f>
        <v>117353.05005078674</v>
      </c>
      <c r="I44" s="128">
        <f>I46-I25-I26-SUM(I39:I42)</f>
        <v>139783.38148869638</v>
      </c>
      <c r="J44" s="191">
        <f>SUM(G44:I44)</f>
        <v>352512.99013119191</v>
      </c>
      <c r="K44" s="126"/>
      <c r="L44" s="87"/>
      <c r="M44" s="87"/>
      <c r="N44" s="87"/>
      <c r="O44" s="51"/>
      <c r="P44" s="130"/>
      <c r="Q44" s="130"/>
      <c r="R44" s="130"/>
      <c r="S44" s="130" t="s">
        <v>457</v>
      </c>
      <c r="T44" s="51"/>
      <c r="U44" s="51"/>
      <c r="V44" s="51"/>
      <c r="W44" s="191"/>
      <c r="X44" s="191"/>
      <c r="Y44" s="191"/>
      <c r="Z44" s="191"/>
      <c r="AA44" s="51"/>
      <c r="AB44" s="90"/>
      <c r="AC44" s="90"/>
      <c r="AD44" s="90"/>
      <c r="AE44" s="90"/>
      <c r="AF44" s="126"/>
      <c r="AG44" s="51"/>
      <c r="AH44" s="51"/>
      <c r="AI44" s="51"/>
      <c r="AJ44" s="51"/>
      <c r="AK44" s="123"/>
      <c r="AL44" s="123"/>
      <c r="AM44" s="123"/>
      <c r="AN44" s="125"/>
      <c r="AV44" s="219"/>
      <c r="AW44" s="219"/>
      <c r="AY44" s="243"/>
      <c r="AZ44" s="243"/>
      <c r="BA44" s="243"/>
      <c r="BD44" s="221"/>
      <c r="BE44" s="221"/>
      <c r="BF44" s="221"/>
      <c r="BG44" s="221"/>
      <c r="BH44" s="101"/>
      <c r="BI44" s="349">
        <f t="shared" si="16"/>
        <v>0</v>
      </c>
      <c r="BJ44" s="349">
        <f t="shared" si="17"/>
        <v>0</v>
      </c>
      <c r="BK44" s="349">
        <f>(AR44-AD44)/I44</f>
        <v>0</v>
      </c>
      <c r="BL44" s="349">
        <f t="shared" si="19"/>
        <v>0</v>
      </c>
      <c r="BM44" s="192"/>
    </row>
    <row r="45" spans="2:85" ht="16" thickBot="1">
      <c r="D45" s="38"/>
      <c r="F45" s="8" t="s">
        <v>398</v>
      </c>
      <c r="G45" s="86">
        <f>G46-G26-SUM(G40:G42)</f>
        <v>128988.89238495556</v>
      </c>
      <c r="H45" s="191">
        <f>H46-H26-SUM(H40:H42)</f>
        <v>124974.034511373</v>
      </c>
      <c r="I45" s="191">
        <f>I46-I26-SUM(I40:I42)</f>
        <v>139783.38148869638</v>
      </c>
      <c r="J45" s="86">
        <f>SUM(G45:I45)</f>
        <v>393746.30838502495</v>
      </c>
      <c r="K45" s="129"/>
      <c r="L45" s="87">
        <f t="shared" ref="L45:N46" si="67">P45/G45</f>
        <v>156.17473538140473</v>
      </c>
      <c r="M45" s="248">
        <f>Q45/H45</f>
        <v>185.88060139561722</v>
      </c>
      <c r="N45" s="248">
        <f>R45/I45</f>
        <v>364.11792882356912</v>
      </c>
      <c r="P45" s="191">
        <f>P46-P26-SUM(P40:P42)</f>
        <v>20144806.135360926</v>
      </c>
      <c r="Q45" s="191">
        <f>Q46-Q26-SUM(Q40:Q42)</f>
        <v>23230248.693810634</v>
      </c>
      <c r="R45" s="191">
        <f>R46-R26-SUM(R40:R42)</f>
        <v>50897635.35161896</v>
      </c>
      <c r="S45" s="90">
        <f>SUM(P45:R45)</f>
        <v>94272690.180790514</v>
      </c>
      <c r="T45" s="95" t="s">
        <v>398</v>
      </c>
      <c r="U45" s="8"/>
      <c r="V45" s="8"/>
      <c r="W45" s="191">
        <f>W46-W26-SUM(W40:W42)</f>
        <v>185998.95840009412</v>
      </c>
      <c r="X45" s="191">
        <f>X46-X26-SUM(X40:X42)</f>
        <v>156875.32520992597</v>
      </c>
      <c r="Y45" s="191">
        <f>Y46-SUM(Y40:Y42)</f>
        <v>195938.17294964768</v>
      </c>
      <c r="Z45" s="191">
        <f>Z46-Z26-SUM(Z40:Z42)</f>
        <v>538812.45655966771</v>
      </c>
      <c r="AA45" s="8"/>
      <c r="AB45" s="90">
        <f>AB46-AB26-SUM(AB40:AB42)</f>
        <v>57010.066015138582</v>
      </c>
      <c r="AC45" s="191">
        <f>AC46-AC26-SUM(AC40:AC42)</f>
        <v>31901.290698552963</v>
      </c>
      <c r="AD45" s="191">
        <f>AD46-SUM(AD40:AD42)</f>
        <v>56154.791460951325</v>
      </c>
      <c r="AE45" s="191">
        <f>AE46-AE26-SUM(AE40:AE42)</f>
        <v>145066.14817464285</v>
      </c>
      <c r="AF45" s="94"/>
      <c r="AG45" s="243">
        <f t="shared" ref="AG45:AI46" si="68">AK45/AB45</f>
        <v>192.02400450096135</v>
      </c>
      <c r="AH45" s="243">
        <f t="shared" si="68"/>
        <v>176.25279819080322</v>
      </c>
      <c r="AI45" s="243">
        <f t="shared" si="68"/>
        <v>212.05364929897644</v>
      </c>
      <c r="AK45" s="191">
        <f>AK46-AK26-SUM(AK40:AK42)</f>
        <v>10947301.173091074</v>
      </c>
      <c r="AL45" s="191">
        <f>AL46-AL26-SUM(AL40:AL42)</f>
        <v>5622691.7515182029</v>
      </c>
      <c r="AM45" s="191">
        <f>AM46-AM26-SUM(AM40:AM42)</f>
        <v>11907828.454917729</v>
      </c>
      <c r="AN45" s="254">
        <f>SUM(AK45:AM45)</f>
        <v>28477821.379527006</v>
      </c>
      <c r="AO45" s="95" t="s">
        <v>398</v>
      </c>
      <c r="AP45" s="228">
        <f>AP46-AP26-AP42</f>
        <v>57010.066015138582</v>
      </c>
      <c r="AQ45" s="240">
        <f>AQ46-AQ26-AQ42</f>
        <v>31901.290698552963</v>
      </c>
      <c r="AR45" s="240">
        <f>AR46-AR42</f>
        <v>56154.791460951325</v>
      </c>
      <c r="AS45" s="231">
        <f t="shared" si="12"/>
        <v>145066.14817464288</v>
      </c>
      <c r="AU45" s="219">
        <f t="shared" ref="AU45:AW46" si="69">AP45/G45</f>
        <v>0.44197655287245396</v>
      </c>
      <c r="AV45" s="269">
        <f t="shared" si="69"/>
        <v>0.25526334988929122</v>
      </c>
      <c r="AW45" s="219">
        <f t="shared" si="69"/>
        <v>0.40172723583376968</v>
      </c>
      <c r="AY45" s="243"/>
      <c r="AZ45" s="243"/>
      <c r="BA45" s="243"/>
      <c r="BD45" s="191">
        <f>BD46-BD26-SUM(BD40:BD42)</f>
        <v>10947301.173091076</v>
      </c>
      <c r="BE45" s="191">
        <f>BE46-BE26-SUM(BE40:BE42)</f>
        <v>5622691.751518202</v>
      </c>
      <c r="BF45" s="191">
        <f>BF46-BF26-SUM(BF40:BF42)</f>
        <v>11907828.454917729</v>
      </c>
      <c r="BG45" s="221">
        <f>BD45+BE45+BF45</f>
        <v>28477821.379527006</v>
      </c>
      <c r="BH45" s="8" t="s">
        <v>414</v>
      </c>
      <c r="BI45" s="349">
        <f t="shared" si="16"/>
        <v>0</v>
      </c>
      <c r="BJ45" s="349">
        <f t="shared" si="17"/>
        <v>0</v>
      </c>
      <c r="BK45" s="349">
        <f>(AR45-AD45)/I45</f>
        <v>0</v>
      </c>
      <c r="BL45" s="349">
        <f t="shared" si="19"/>
        <v>7.3915183042870624E-17</v>
      </c>
      <c r="BM45" s="8"/>
      <c r="BN45" s="134">
        <f>BN46-BN26-SUM(BN40:BN42)</f>
        <v>185998.9584000941</v>
      </c>
      <c r="BO45" s="221">
        <f>BO46-BO26-SUM(BO40:BO42)</f>
        <v>156875.32520992594</v>
      </c>
      <c r="BP45" s="221">
        <f>BP46-BP26-SUM(BP40:BP42)</f>
        <v>195938.17294964771</v>
      </c>
      <c r="BQ45" s="240">
        <f>BN45+BO45+BP45</f>
        <v>538812.45655966783</v>
      </c>
      <c r="BS45" s="138">
        <f t="shared" ref="BS45:BV46" si="70">CC45/BN45</f>
        <v>167.1628033613562</v>
      </c>
      <c r="BT45" s="138">
        <f t="shared" si="70"/>
        <v>183.92274506343611</v>
      </c>
      <c r="BU45" s="138">
        <f t="shared" si="70"/>
        <v>320.53715139354944</v>
      </c>
      <c r="BV45" s="138">
        <f t="shared" si="70"/>
        <v>227.81676642014347</v>
      </c>
      <c r="BW45" s="8" t="s">
        <v>438</v>
      </c>
      <c r="BX45" s="264">
        <f t="shared" ref="BX45:CA46" si="71">CC45/G45</f>
        <v>241.04484295950422</v>
      </c>
      <c r="BY45" s="264">
        <f t="shared" si="71"/>
        <v>230.87148108916287</v>
      </c>
      <c r="BZ45" s="264">
        <f t="shared" si="71"/>
        <v>449.30565520491064</v>
      </c>
      <c r="CA45" s="264">
        <f t="shared" si="71"/>
        <v>311.75025377072467</v>
      </c>
      <c r="CB45" s="8"/>
      <c r="CC45" s="134">
        <f>CC46-CC26-SUM(CC40:CC42)</f>
        <v>31092107.308452003</v>
      </c>
      <c r="CD45" s="255">
        <f>CD46-CD26-SUM(CD40:CD42)</f>
        <v>28852940.445328839</v>
      </c>
      <c r="CE45" s="255">
        <f>CE46-CE26-SUM(CE40:CE42)</f>
        <v>62805463.806536704</v>
      </c>
      <c r="CF45" s="221">
        <f>CC45+CD45+CE45</f>
        <v>122750511.56031755</v>
      </c>
    </row>
    <row r="46" spans="2:85" ht="16" thickBot="1">
      <c r="F46" s="8" t="s">
        <v>399</v>
      </c>
      <c r="G46" s="82">
        <f>G15+G29</f>
        <v>129769.72189046962</v>
      </c>
      <c r="H46" s="239">
        <f>H15+H29</f>
        <v>132277.22652599908</v>
      </c>
      <c r="I46" s="239">
        <f>I15+I29</f>
        <v>240221.58228874116</v>
      </c>
      <c r="J46" s="144">
        <f>SUM(G46:I46)</f>
        <v>502268.53070520982</v>
      </c>
      <c r="K46" s="177"/>
      <c r="L46" s="116">
        <f t="shared" si="67"/>
        <v>155.59032649557616</v>
      </c>
      <c r="M46" s="116">
        <f t="shared" si="67"/>
        <v>178.72496973706106</v>
      </c>
      <c r="N46" s="116">
        <f t="shared" si="67"/>
        <v>236.07667222209847</v>
      </c>
      <c r="P46" s="108">
        <f>P15+P29</f>
        <v>20190913.398178287</v>
      </c>
      <c r="Q46" s="239">
        <f>Q15+Q29</f>
        <v>23641243.307761557</v>
      </c>
      <c r="R46" s="239">
        <f>R15+R29</f>
        <v>56710711.742653005</v>
      </c>
      <c r="S46" s="108">
        <f>SUM(P46:R46)</f>
        <v>100542868.44859284</v>
      </c>
      <c r="T46" s="95" t="s">
        <v>399</v>
      </c>
      <c r="U46" s="8"/>
      <c r="V46" s="8"/>
      <c r="W46" s="239">
        <f>W15+W29</f>
        <v>188229.89984442</v>
      </c>
      <c r="X46" s="239">
        <f>X15+X29</f>
        <v>175654.96181896442</v>
      </c>
      <c r="Y46" s="239">
        <f>Y15+Y29</f>
        <v>436136.40357833431</v>
      </c>
      <c r="Z46" s="182">
        <f>Z15+Z29</f>
        <v>800021.26524171873</v>
      </c>
      <c r="AA46" s="8"/>
      <c r="AB46" s="108">
        <f>AB15+AB29</f>
        <v>58460.177953950399</v>
      </c>
      <c r="AC46" s="240">
        <f>AC15+AC29</f>
        <v>43377.735292965357</v>
      </c>
      <c r="AD46" s="240">
        <f>AD15+AD29</f>
        <v>195914.82128959318</v>
      </c>
      <c r="AE46" s="108">
        <f>SUM(AB46:AD46)</f>
        <v>297752.73453650891</v>
      </c>
      <c r="AF46" s="241"/>
      <c r="AG46" s="243">
        <f t="shared" si="68"/>
        <v>188.72554502973765</v>
      </c>
      <c r="AH46" s="243">
        <f t="shared" si="68"/>
        <v>144.51055105222432</v>
      </c>
      <c r="AI46" s="243">
        <f t="shared" si="68"/>
        <v>93.267574617565174</v>
      </c>
      <c r="AK46" s="255">
        <f>AK15+AK29</f>
        <v>11032928.946894743</v>
      </c>
      <c r="AL46" s="255">
        <f>AL15+AL29</f>
        <v>6268540.4305839427</v>
      </c>
      <c r="AM46" s="255">
        <f>AM15+AM29</f>
        <v>18272500.213314079</v>
      </c>
      <c r="AN46" s="255">
        <f>SUM(AK46:AM46)</f>
        <v>35573969.59079276</v>
      </c>
      <c r="AO46" s="95" t="s">
        <v>399</v>
      </c>
      <c r="AP46" s="228">
        <f>AP15+AP29</f>
        <v>58460.177953950399</v>
      </c>
      <c r="AQ46" s="240">
        <f>AQ15+AQ29</f>
        <v>43377.735292965357</v>
      </c>
      <c r="AR46" s="240">
        <f>AR15+AR29</f>
        <v>195914.82128959318</v>
      </c>
      <c r="AS46" s="231">
        <f t="shared" si="12"/>
        <v>297752.73453650891</v>
      </c>
      <c r="AU46" s="219">
        <f t="shared" si="69"/>
        <v>0.45049166402077151</v>
      </c>
      <c r="AV46" s="219">
        <f t="shared" si="69"/>
        <v>0.32793048684339832</v>
      </c>
      <c r="AW46" s="219">
        <f t="shared" si="69"/>
        <v>0.81555878294943451</v>
      </c>
      <c r="AY46" s="243"/>
      <c r="AZ46" s="243"/>
      <c r="BA46" s="243"/>
      <c r="BD46" s="240">
        <f>BD15+BD29</f>
        <v>11032928.946894744</v>
      </c>
      <c r="BE46" s="240">
        <f>BE15+BE29</f>
        <v>6268540.4305839418</v>
      </c>
      <c r="BF46" s="240">
        <f>BF15+BF29</f>
        <v>18272500.213314079</v>
      </c>
      <c r="BG46" s="221">
        <f>BD46+BE46+BF46</f>
        <v>35573969.59079276</v>
      </c>
      <c r="BH46" s="8" t="s">
        <v>415</v>
      </c>
      <c r="BI46" s="349">
        <f t="shared" si="16"/>
        <v>0</v>
      </c>
      <c r="BJ46" s="349">
        <f t="shared" si="17"/>
        <v>0</v>
      </c>
      <c r="BK46" s="349">
        <f>(AR46-AD46)/I46</f>
        <v>0</v>
      </c>
      <c r="BL46" s="349">
        <f t="shared" si="19"/>
        <v>0</v>
      </c>
      <c r="BM46" s="8"/>
      <c r="BN46" s="134">
        <f>BN15+BN29</f>
        <v>188229.89984441997</v>
      </c>
      <c r="BO46" s="221">
        <f>BO15+BO29</f>
        <v>175654.9618189644</v>
      </c>
      <c r="BP46" s="221">
        <f>BP15+BP29</f>
        <v>436136.40357833437</v>
      </c>
      <c r="BQ46" s="252">
        <f>BN46+BO46+BP46</f>
        <v>800021.26524171873</v>
      </c>
      <c r="BS46" s="138">
        <f t="shared" si="70"/>
        <v>165.88141613463571</v>
      </c>
      <c r="BT46" s="138">
        <f t="shared" si="70"/>
        <v>170.27576920469505</v>
      </c>
      <c r="BU46" s="138">
        <f t="shared" si="70"/>
        <v>171.92605648315109</v>
      </c>
      <c r="BV46" s="138">
        <f t="shared" si="70"/>
        <v>170.14152492341466</v>
      </c>
      <c r="BW46" s="8" t="s">
        <v>415</v>
      </c>
      <c r="BX46" s="264">
        <f t="shared" si="71"/>
        <v>240.60961131924975</v>
      </c>
      <c r="BY46" s="264">
        <f t="shared" si="71"/>
        <v>226.11438509762479</v>
      </c>
      <c r="BZ46" s="264">
        <f t="shared" si="71"/>
        <v>312.14186186584556</v>
      </c>
      <c r="CA46" s="264">
        <f t="shared" si="71"/>
        <v>271.00411377211083</v>
      </c>
      <c r="CB46" s="8"/>
      <c r="CC46" s="134">
        <f>CC15+CC29</f>
        <v>31223842.345073033</v>
      </c>
      <c r="CD46" s="221">
        <f>CD15+CD29</f>
        <v>29909783.738345504</v>
      </c>
      <c r="CE46" s="221">
        <f>CE15+CE29</f>
        <v>74983211.955967098</v>
      </c>
      <c r="CF46" s="221">
        <f>CC46+CD46+CE46</f>
        <v>136116838.03938562</v>
      </c>
    </row>
    <row r="47" spans="2:85">
      <c r="F47" s="127"/>
      <c r="G47" s="102">
        <f>G46-G45-G26-G42</f>
        <v>5.6843418860808015E-12</v>
      </c>
      <c r="H47" s="102">
        <f>H46-H45-(H26+SUM(H40:H42))</f>
        <v>1.3642420526593924E-11</v>
      </c>
      <c r="I47" s="233">
        <f>I46-I45-(I26+SUM(I40:I42))</f>
        <v>0</v>
      </c>
      <c r="J47" s="233">
        <f>J46-J45-(J26+SUM(J40:J42))</f>
        <v>0</v>
      </c>
      <c r="O47" s="127"/>
      <c r="P47" s="233">
        <f>P46-P45-(P26+SUM(P40:P42))</f>
        <v>4.0017766878008842E-10</v>
      </c>
      <c r="Q47" s="233">
        <f>Q46-Q45-(Q26+SUM(Q40:Q42))</f>
        <v>-2.5611370801925659E-9</v>
      </c>
      <c r="R47" s="233">
        <f>R46-R45-(R26+SUM(R40:R42))</f>
        <v>0</v>
      </c>
      <c r="S47" s="233">
        <f>S46-S45-(S26+SUM(S40:S42))</f>
        <v>0</v>
      </c>
      <c r="T47" s="127"/>
      <c r="U47" s="127"/>
      <c r="V47" s="127"/>
      <c r="W47" s="192"/>
      <c r="X47" s="192"/>
      <c r="Y47" s="192"/>
      <c r="Z47" s="251" t="s">
        <v>269</v>
      </c>
      <c r="AA47" s="127"/>
      <c r="AB47" s="233">
        <f>AB46-AB45-(AB26+SUM(AB40:AB42))</f>
        <v>-2.9558577807620168E-12</v>
      </c>
      <c r="AC47" s="233">
        <f>AC46-AC45-(AC26+SUM(AC40:AC42))</f>
        <v>0</v>
      </c>
      <c r="AD47" s="233">
        <f>AD46-AD45-(SUM(AD40:AD42))</f>
        <v>0</v>
      </c>
      <c r="AE47" s="233">
        <f>AE46-AE45-(AE26+SUM(AE40:AE42))</f>
        <v>0</v>
      </c>
      <c r="AG47" s="51"/>
      <c r="AH47" s="51"/>
      <c r="AI47" s="247"/>
      <c r="AJ47" s="127"/>
      <c r="AK47" s="233">
        <f>AK46-AK45-(AK26+SUM(AK40:AK42))</f>
        <v>-5.8207660913467407E-10</v>
      </c>
      <c r="AL47" s="233">
        <f>AL46-AL45-(AL26+SUM(AL40:AL42))</f>
        <v>0</v>
      </c>
      <c r="AM47" s="233">
        <f>AM46-AM45-(AM26+SUM(AM40:AM42))</f>
        <v>0</v>
      </c>
      <c r="AN47" s="233">
        <f>AN46-AN45-(AN26+SUM(AN40:AN42))</f>
        <v>0</v>
      </c>
      <c r="AO47" s="127" t="s">
        <v>368</v>
      </c>
      <c r="AP47" s="233">
        <f>AP46-AB46</f>
        <v>0</v>
      </c>
      <c r="AQ47" s="233">
        <f>AQ46-AC46</f>
        <v>0</v>
      </c>
      <c r="AR47" s="233">
        <f>AR46-AD46</f>
        <v>0</v>
      </c>
      <c r="AS47" s="233">
        <f>AS46-AE46</f>
        <v>0</v>
      </c>
      <c r="AT47" s="233"/>
      <c r="AV47" s="174"/>
      <c r="AW47" s="174"/>
      <c r="AY47" s="243"/>
      <c r="AZ47" s="243"/>
      <c r="BA47" s="243"/>
      <c r="BC47" s="127" t="s">
        <v>270</v>
      </c>
      <c r="BD47" s="183">
        <f>BD46-AK46</f>
        <v>0</v>
      </c>
      <c r="BE47" s="183">
        <f>BE46-AL46</f>
        <v>0</v>
      </c>
      <c r="BF47" s="183">
        <f>BF46-AM46</f>
        <v>0</v>
      </c>
      <c r="BG47" s="183">
        <f>BG46-AN46</f>
        <v>0</v>
      </c>
      <c r="CF47" s="50" t="s">
        <v>182</v>
      </c>
      <c r="CG47" s="50"/>
    </row>
    <row r="48" spans="2:85" ht="16" thickBot="1">
      <c r="F48" s="127"/>
      <c r="G48" s="164"/>
      <c r="H48" s="164"/>
      <c r="I48" s="164"/>
      <c r="J48" s="164"/>
      <c r="L48" s="275" t="s">
        <v>48</v>
      </c>
      <c r="M48" s="174"/>
      <c r="N48" s="174"/>
      <c r="X48" s="233" t="s">
        <v>49</v>
      </c>
      <c r="AB48" s="1"/>
      <c r="AC48" s="1"/>
      <c r="AD48" s="1"/>
      <c r="AF48" s="8" t="s">
        <v>461</v>
      </c>
      <c r="AG48" s="258">
        <f>(AK15-AK26)/(AB15-AB26)</f>
        <v>147.87979041622401</v>
      </c>
      <c r="AH48" s="259">
        <f>(AL15-AL26)/(AC15-AC26)</f>
        <v>346.15642689572286</v>
      </c>
      <c r="AI48" s="260">
        <f>(AM15)/(AD15)</f>
        <v>188.74983954643406</v>
      </c>
      <c r="AK48" s="124"/>
      <c r="AL48" s="124"/>
      <c r="AN48" s="253" t="s">
        <v>440</v>
      </c>
      <c r="AO48" s="85"/>
      <c r="AS48" s="240" t="s">
        <v>119</v>
      </c>
      <c r="AU48" s="328"/>
      <c r="AV48" s="328"/>
      <c r="AW48" s="328"/>
      <c r="AY48" s="243"/>
      <c r="AZ48" s="243"/>
      <c r="BA48" s="243"/>
      <c r="BD48" s="221"/>
      <c r="BE48" s="221"/>
      <c r="BF48" s="221"/>
      <c r="BG48" s="221"/>
      <c r="BI48" s="350"/>
      <c r="BJ48" s="127"/>
      <c r="BK48" s="127"/>
      <c r="BL48" s="127"/>
      <c r="BM48" s="127" t="s">
        <v>91</v>
      </c>
      <c r="BN48" s="183">
        <v>188229.89984442003</v>
      </c>
      <c r="BO48" s="183">
        <v>175654.96181896442</v>
      </c>
      <c r="BP48" s="183">
        <v>436136.40357833437</v>
      </c>
      <c r="BQ48" s="182">
        <v>800021.26524171885</v>
      </c>
      <c r="BR48" s="247" t="s">
        <v>100</v>
      </c>
      <c r="CC48" s="181">
        <v>31223842.345073033</v>
      </c>
      <c r="CD48" s="181">
        <v>29909783.738345496</v>
      </c>
      <c r="CE48" s="181">
        <v>74983211.955967098</v>
      </c>
      <c r="CF48" s="145">
        <v>136116838.03938562</v>
      </c>
      <c r="CG48" s="50" t="s">
        <v>341</v>
      </c>
    </row>
    <row r="49" spans="1:85" ht="16" thickBot="1">
      <c r="F49" s="127"/>
      <c r="G49" s="164"/>
      <c r="H49" s="164"/>
      <c r="I49" s="164"/>
      <c r="J49" s="164"/>
      <c r="L49" s="275" t="s">
        <v>56</v>
      </c>
      <c r="M49" s="174"/>
      <c r="N49" s="174"/>
      <c r="X49" s="233" t="s">
        <v>50</v>
      </c>
      <c r="AB49" s="1"/>
      <c r="AC49" s="1"/>
      <c r="AD49" s="1"/>
      <c r="AF49" s="8" t="s">
        <v>542</v>
      </c>
      <c r="AG49" s="261">
        <f>(AK29-AK42)/(AB29-AB42)</f>
        <v>193.13570182389293</v>
      </c>
      <c r="AH49" s="262">
        <f>(AL29-AL42)/(AC29-AC42)</f>
        <v>159.52294539758608</v>
      </c>
      <c r="AI49" s="263">
        <f>(AM29-AM42)/(AD29-AD42)</f>
        <v>213.25347078940703</v>
      </c>
      <c r="AK49" s="124"/>
      <c r="AL49" s="124"/>
      <c r="AN49" s="253">
        <f>AN46+S46</f>
        <v>136116838.03938562</v>
      </c>
      <c r="AO49" s="93"/>
      <c r="AS49" s="250">
        <f>AS46+J46</f>
        <v>800021.26524171873</v>
      </c>
      <c r="AT49" s="257"/>
      <c r="AU49" s="328"/>
      <c r="AV49" s="328"/>
      <c r="AW49" s="328"/>
      <c r="AY49" s="248"/>
      <c r="AZ49" s="243"/>
      <c r="BA49" s="243"/>
      <c r="BD49" s="221"/>
      <c r="BE49" s="221"/>
      <c r="BF49" s="221"/>
      <c r="BG49" s="221"/>
      <c r="BI49" s="350"/>
      <c r="BJ49" s="127"/>
      <c r="BK49" s="127"/>
      <c r="BL49" s="127"/>
      <c r="BM49" s="127" t="s">
        <v>41</v>
      </c>
      <c r="BN49" s="180">
        <f>100*(BN46-BN48)/BN48</f>
        <v>-3.0923706043289882E-14</v>
      </c>
      <c r="BO49" s="180">
        <f>100*(BO46-BO48)/BO48</f>
        <v>-1.6568749413824721E-14</v>
      </c>
      <c r="BP49" s="180">
        <f>100*(BP46-BP48)/BP48</f>
        <v>0</v>
      </c>
      <c r="BQ49" s="265">
        <f>100*(BQ46-BQ48)/BQ48</f>
        <v>-1.4551528426155151E-14</v>
      </c>
      <c r="BR49" s="268" t="s">
        <v>41</v>
      </c>
      <c r="CB49" s="127" t="s">
        <v>355</v>
      </c>
      <c r="CC49" s="180">
        <f>100*(CC46-CC48)/CC48</f>
        <v>0</v>
      </c>
      <c r="CD49" s="180">
        <f>100*(CD46-CD48)/CD48</f>
        <v>2.4910178763251625E-14</v>
      </c>
      <c r="CE49" s="180">
        <f>100*(CE46-CE48)/CE48</f>
        <v>0</v>
      </c>
      <c r="CF49" s="137">
        <f>100*((CF46/CF48)-1)</f>
        <v>0</v>
      </c>
      <c r="CG49" s="136" t="s">
        <v>41</v>
      </c>
    </row>
    <row r="50" spans="1:85" ht="16" thickBot="1">
      <c r="A50" s="43" t="s">
        <v>620</v>
      </c>
      <c r="AB50" s="1"/>
      <c r="AC50" s="1"/>
      <c r="AD50" s="1"/>
      <c r="AF50" s="1"/>
      <c r="AG50" s="51"/>
      <c r="AH50" s="51" t="s">
        <v>101</v>
      </c>
      <c r="AI50" s="51"/>
      <c r="AM50" s="127" t="s">
        <v>580</v>
      </c>
      <c r="AN50" s="183">
        <v>136116838.03938562</v>
      </c>
      <c r="AS50" s="214" t="s">
        <v>118</v>
      </c>
      <c r="AU50" s="328"/>
      <c r="AV50" s="328"/>
      <c r="AW50" s="328"/>
      <c r="AY50" s="243"/>
      <c r="AZ50" s="243"/>
      <c r="BA50" s="243"/>
      <c r="BD50" s="221"/>
      <c r="BE50" s="221"/>
      <c r="BF50" s="221"/>
      <c r="BG50" s="221"/>
    </row>
    <row r="51" spans="1:85" ht="16" thickBot="1">
      <c r="A51" s="43" t="s">
        <v>549</v>
      </c>
      <c r="AD51" s="214" t="s">
        <v>132</v>
      </c>
      <c r="AE51" s="252">
        <f>AE46+J46</f>
        <v>800021.26524171873</v>
      </c>
      <c r="AG51" s="51"/>
      <c r="AH51" s="51">
        <v>161.34305344220078</v>
      </c>
      <c r="AI51" s="51"/>
      <c r="AM51" s="50" t="s">
        <v>581</v>
      </c>
      <c r="AN51" s="256">
        <f>100*(AN49-AN50)/AN50</f>
        <v>0</v>
      </c>
      <c r="AU51" s="328"/>
      <c r="AV51" s="328"/>
      <c r="AW51" s="328"/>
      <c r="AY51" s="243"/>
      <c r="AZ51" s="243"/>
      <c r="BA51" s="243"/>
      <c r="BD51" s="264">
        <f>100*BD47/BD46</f>
        <v>0</v>
      </c>
      <c r="BE51" s="264">
        <f>100*BE47/BE46</f>
        <v>0</v>
      </c>
      <c r="BF51" s="264">
        <f>100*BF47/BF46</f>
        <v>0</v>
      </c>
      <c r="BG51" s="264">
        <f>100*BG47/BG46</f>
        <v>0</v>
      </c>
      <c r="CC51" s="266">
        <f>CC46-CC48</f>
        <v>0</v>
      </c>
      <c r="CD51" s="266">
        <f>CD46-CD48</f>
        <v>0</v>
      </c>
      <c r="CE51" s="266">
        <f>CE46-CE48</f>
        <v>0</v>
      </c>
      <c r="CF51" s="266">
        <f>CF46-CF48</f>
        <v>0</v>
      </c>
      <c r="CG51" s="50" t="s">
        <v>530</v>
      </c>
    </row>
    <row r="52" spans="1:85">
      <c r="B52" s="1" t="s">
        <v>327</v>
      </c>
      <c r="AG52" s="51"/>
      <c r="AH52" s="262" t="s">
        <v>102</v>
      </c>
      <c r="AI52" s="51"/>
      <c r="AU52" s="328"/>
      <c r="AV52" s="328"/>
      <c r="AW52" s="328"/>
      <c r="AY52" s="243"/>
      <c r="AZ52" s="243"/>
      <c r="BA52" s="243"/>
      <c r="BD52" s="221"/>
      <c r="BE52" s="221"/>
      <c r="BF52" s="221"/>
      <c r="BG52" s="221"/>
    </row>
    <row r="53" spans="1:85">
      <c r="AD53" s="324" t="s">
        <v>146</v>
      </c>
      <c r="AE53" s="324">
        <f>Z46-AE51</f>
        <v>0</v>
      </c>
      <c r="AU53" s="328"/>
      <c r="AV53" s="328"/>
      <c r="AW53" s="328"/>
      <c r="AY53" s="243"/>
      <c r="AZ53" s="243"/>
      <c r="BA53" s="243"/>
      <c r="BD53" s="221"/>
      <c r="BE53" s="221"/>
      <c r="BF53" s="221"/>
      <c r="BG53" s="221"/>
    </row>
    <row r="54" spans="1:85">
      <c r="A54" s="3" t="s">
        <v>425</v>
      </c>
      <c r="AU54" s="328"/>
      <c r="AV54" s="328"/>
      <c r="AW54" s="328"/>
      <c r="AY54" s="243"/>
      <c r="AZ54" s="243"/>
      <c r="BA54" s="243"/>
      <c r="BD54" s="221"/>
      <c r="BE54" s="221"/>
      <c r="BF54" s="221"/>
      <c r="BG54" s="221"/>
    </row>
    <row r="55" spans="1:85">
      <c r="A55" s="1" t="s">
        <v>348</v>
      </c>
      <c r="AU55" s="328"/>
      <c r="AV55" s="328"/>
      <c r="AW55" s="328"/>
      <c r="AY55" s="243"/>
      <c r="AZ55" s="243"/>
      <c r="BA55" s="243"/>
      <c r="BD55" s="221"/>
      <c r="BE55" s="221"/>
      <c r="BF55" s="221"/>
      <c r="BG55" s="221"/>
    </row>
    <row r="56" spans="1:85">
      <c r="A56" s="1" t="s">
        <v>563</v>
      </c>
      <c r="AU56" s="328"/>
      <c r="AV56" s="328"/>
      <c r="AW56" s="328"/>
      <c r="AY56" s="243"/>
      <c r="AZ56" s="243"/>
      <c r="BA56" s="243"/>
      <c r="BD56" s="221"/>
      <c r="BE56" s="221"/>
      <c r="BF56" s="221"/>
      <c r="BG56" s="221"/>
    </row>
    <row r="57" spans="1:85">
      <c r="A57" s="1" t="s">
        <v>301</v>
      </c>
      <c r="AU57" s="328"/>
      <c r="AV57" s="328"/>
      <c r="AW57" s="328"/>
      <c r="AY57" s="243"/>
      <c r="AZ57" s="243"/>
      <c r="BA57" s="243"/>
      <c r="BD57" s="221"/>
      <c r="BE57" s="221"/>
      <c r="BF57" s="221"/>
      <c r="BG57" s="221"/>
    </row>
    <row r="58" spans="1:85">
      <c r="A58" s="1" t="s">
        <v>500</v>
      </c>
      <c r="AY58" s="243"/>
      <c r="AZ58" s="243"/>
      <c r="BA58" s="248"/>
      <c r="BD58" s="255"/>
      <c r="BE58" s="255"/>
      <c r="BF58" s="255"/>
      <c r="BG58" s="255"/>
    </row>
    <row r="59" spans="1:85">
      <c r="A59" s="1" t="s">
        <v>455</v>
      </c>
      <c r="AY59" s="243"/>
      <c r="AZ59" s="243"/>
      <c r="BA59" s="248"/>
      <c r="BD59" s="255"/>
      <c r="BE59" s="255"/>
      <c r="BF59" s="255"/>
      <c r="BG59" s="255"/>
    </row>
    <row r="60" spans="1:85">
      <c r="A60" s="1" t="s">
        <v>115</v>
      </c>
      <c r="AY60" s="243"/>
      <c r="BA60" s="248"/>
      <c r="BD60" s="255"/>
      <c r="BE60" s="255"/>
      <c r="BF60" s="255"/>
      <c r="BG60" s="255"/>
    </row>
    <row r="61" spans="1:85">
      <c r="A61" s="1" t="s">
        <v>181</v>
      </c>
      <c r="BA61" s="248"/>
      <c r="BD61" s="255"/>
      <c r="BE61" s="255"/>
      <c r="BF61" s="255"/>
      <c r="BG61" s="255"/>
    </row>
    <row r="62" spans="1:85">
      <c r="BA62" s="248"/>
      <c r="BD62" s="255"/>
      <c r="BE62" s="255"/>
      <c r="BF62" s="255"/>
      <c r="BG62" s="255"/>
    </row>
    <row r="63" spans="1:85">
      <c r="BA63" s="248"/>
      <c r="BD63" s="255"/>
      <c r="BE63" s="255"/>
      <c r="BF63" s="255"/>
      <c r="BG63" s="255"/>
    </row>
    <row r="64" spans="1:85">
      <c r="I64" s="193"/>
      <c r="BA64" s="248"/>
      <c r="BD64" s="255"/>
      <c r="BE64" s="255"/>
      <c r="BF64" s="255"/>
      <c r="BG64" s="255"/>
    </row>
    <row r="65" spans="53:59">
      <c r="BA65" s="248"/>
      <c r="BD65" s="255"/>
      <c r="BE65" s="255"/>
      <c r="BF65" s="255"/>
      <c r="BG65" s="255"/>
    </row>
    <row r="66" spans="53:59">
      <c r="BA66" s="248"/>
      <c r="BD66" s="255"/>
      <c r="BE66" s="255"/>
      <c r="BF66" s="255"/>
      <c r="BG66" s="255"/>
    </row>
    <row r="67" spans="53:59">
      <c r="BA67" s="248"/>
      <c r="BD67" s="255"/>
      <c r="BE67" s="255"/>
      <c r="BF67" s="255"/>
      <c r="BG67" s="255"/>
    </row>
    <row r="68" spans="53:59">
      <c r="BA68" s="248"/>
      <c r="BD68" s="255"/>
      <c r="BE68" s="255"/>
      <c r="BF68" s="255"/>
      <c r="BG68" s="255"/>
    </row>
    <row r="69" spans="53:59">
      <c r="BA69" s="248"/>
      <c r="BD69" s="255"/>
      <c r="BE69" s="255"/>
      <c r="BF69" s="255"/>
      <c r="BG69" s="255"/>
    </row>
    <row r="70" spans="53:59">
      <c r="BA70" s="248"/>
      <c r="BD70" s="255"/>
      <c r="BE70" s="255"/>
      <c r="BF70" s="255"/>
      <c r="BG70" s="255"/>
    </row>
    <row r="71" spans="53:59">
      <c r="BD71" s="255"/>
      <c r="BE71" s="255"/>
      <c r="BF71" s="255"/>
      <c r="BG71" s="255"/>
    </row>
    <row r="72" spans="53:59">
      <c r="BD72" s="255"/>
      <c r="BE72" s="255"/>
      <c r="BF72" s="255"/>
      <c r="BG72" s="255"/>
    </row>
    <row r="73" spans="53:59">
      <c r="BD73" s="255"/>
      <c r="BE73" s="255"/>
      <c r="BF73" s="255"/>
      <c r="BG73" s="255"/>
    </row>
    <row r="74" spans="53:59">
      <c r="BD74" s="255"/>
      <c r="BE74" s="255"/>
      <c r="BF74" s="255"/>
      <c r="BG74" s="255"/>
    </row>
    <row r="75" spans="53:59">
      <c r="BD75" s="255"/>
      <c r="BE75" s="255"/>
      <c r="BF75" s="255"/>
      <c r="BG75" s="255"/>
    </row>
    <row r="76" spans="53:59">
      <c r="BD76" s="255"/>
      <c r="BE76" s="255"/>
      <c r="BF76" s="255"/>
      <c r="BG76" s="255"/>
    </row>
  </sheetData>
  <phoneticPr fontId="20"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9"/>
  <sheetViews>
    <sheetView tabSelected="1" topLeftCell="R1" workbookViewId="0">
      <pane xSplit="10460" ySplit="6340" topLeftCell="AP42" activePane="bottomRight"/>
      <selection activeCell="V17" sqref="V17"/>
      <selection pane="topRight" activeCell="AL15" sqref="AL15"/>
      <selection pane="bottomLeft" activeCell="B51" sqref="B51"/>
      <selection pane="bottomRight" activeCell="AQ50" sqref="AQ50"/>
    </sheetView>
  </sheetViews>
  <sheetFormatPr baseColWidth="10" defaultRowHeight="15" x14ac:dyDescent="0"/>
  <cols>
    <col min="1" max="1" width="6.6640625" customWidth="1"/>
    <col min="2" max="2" width="12.83203125" customWidth="1"/>
    <col min="3" max="3" width="11.33203125" customWidth="1"/>
    <col min="6" max="6" width="13" customWidth="1"/>
    <col min="7" max="8" width="10.83203125" style="414"/>
    <col min="9" max="9" width="10.6640625" style="414" customWidth="1"/>
    <col min="10" max="10" width="10.83203125" style="414"/>
    <col min="11" max="11" width="3.83203125" customWidth="1"/>
    <col min="12" max="15" width="10.33203125" customWidth="1"/>
    <col min="16" max="16" width="11.83203125" style="170" customWidth="1"/>
    <col min="17" max="17" width="12.5" style="26" customWidth="1"/>
    <col min="18" max="18" width="13" style="26" customWidth="1"/>
    <col min="19" max="19" width="11.83203125" style="26" customWidth="1"/>
    <col min="20" max="20" width="13" style="26" customWidth="1"/>
    <col min="21" max="21" width="4.83203125" customWidth="1"/>
    <col min="22" max="25" width="13.6640625" style="31" customWidth="1"/>
    <col min="26" max="26" width="13.5" style="277" customWidth="1"/>
    <col min="27" max="27" width="10.1640625" style="195" customWidth="1"/>
    <col min="28" max="30" width="15.83203125" style="195" customWidth="1"/>
    <col min="31" max="31" width="6.83203125" style="1" customWidth="1"/>
    <col min="32" max="34" width="11.1640625" style="403" bestFit="1" customWidth="1"/>
    <col min="35" max="35" width="13.1640625" style="403" bestFit="1" customWidth="1"/>
    <col min="36" max="36" width="4.83203125" style="199" customWidth="1"/>
    <col min="41" max="41" width="6.1640625" customWidth="1"/>
    <col min="42" max="43" width="12" customWidth="1"/>
    <col min="44" max="44" width="12.83203125" customWidth="1"/>
    <col min="45" max="45" width="13.6640625" customWidth="1"/>
  </cols>
  <sheetData>
    <row r="1" spans="1:45" ht="18">
      <c r="A1" s="361" t="s">
        <v>629</v>
      </c>
      <c r="B1" s="362"/>
      <c r="C1" s="363"/>
      <c r="D1" s="133" t="s">
        <v>693</v>
      </c>
      <c r="E1" s="1"/>
      <c r="F1" s="1"/>
      <c r="G1" s="411"/>
      <c r="H1" s="411"/>
      <c r="I1" s="411"/>
      <c r="J1" s="411"/>
      <c r="K1" s="1"/>
      <c r="L1" s="1"/>
      <c r="M1" s="1"/>
      <c r="N1" s="1"/>
      <c r="O1" s="1"/>
      <c r="P1" s="83"/>
      <c r="Q1" s="23"/>
      <c r="R1" s="23"/>
      <c r="S1" s="23"/>
      <c r="T1" s="23"/>
      <c r="U1" s="1"/>
      <c r="V1" s="339" t="s">
        <v>573</v>
      </c>
      <c r="W1" s="340"/>
      <c r="X1" s="340"/>
      <c r="Y1" s="340"/>
      <c r="Z1" s="341"/>
      <c r="AA1" s="339" t="s">
        <v>464</v>
      </c>
      <c r="AB1" s="342"/>
      <c r="AC1" s="342"/>
      <c r="AD1" s="342"/>
      <c r="AE1" s="343"/>
      <c r="AF1" s="401" t="s">
        <v>540</v>
      </c>
      <c r="AG1" s="402"/>
      <c r="AH1" s="402"/>
      <c r="AI1" s="402"/>
      <c r="AJ1" s="342"/>
    </row>
    <row r="2" spans="1:45" ht="17">
      <c r="A2" s="364" t="s">
        <v>621</v>
      </c>
      <c r="B2" s="170"/>
      <c r="C2" s="365"/>
      <c r="D2" s="35"/>
      <c r="E2" s="1"/>
      <c r="F2" s="337" t="s">
        <v>336</v>
      </c>
      <c r="G2" s="412">
        <f>G16+SUM(G29:G33)</f>
        <v>56627.580004860851</v>
      </c>
      <c r="H2" s="412">
        <f>H16+SUM(H29:H33)</f>
        <v>32288.035954781852</v>
      </c>
      <c r="I2" s="412">
        <f>I16+SUM(I29:I33)</f>
        <v>101642.1824922732</v>
      </c>
      <c r="J2" s="412">
        <f>J16+SUM(J29:J33)</f>
        <v>190557.79845191591</v>
      </c>
      <c r="K2" s="1"/>
      <c r="L2" s="338">
        <f>L16+SUM(L28:L33)</f>
        <v>106537.92106586418</v>
      </c>
      <c r="M2" s="338">
        <f>M16+SUM(M28:M33)</f>
        <v>59261.839137848605</v>
      </c>
      <c r="N2" s="338">
        <f>N16+SUM(N28:N33)</f>
        <v>150854.11932654885</v>
      </c>
      <c r="O2" s="338">
        <f>O16+SUM(O28:O33)</f>
        <v>316653.87953026162</v>
      </c>
      <c r="P2" s="346"/>
      <c r="Q2" s="23"/>
      <c r="R2" s="23"/>
      <c r="S2" s="23"/>
      <c r="T2" s="23"/>
      <c r="U2" s="1"/>
      <c r="V2" s="344">
        <f>V16+SUM(V29:V33)</f>
        <v>20184259.953897554</v>
      </c>
      <c r="W2" s="344">
        <f>W16+SUM(W29:W33)</f>
        <v>8641348.8553671837</v>
      </c>
      <c r="X2" s="344">
        <f>X16+SUM(X29:X33)</f>
        <v>41214342.761629708</v>
      </c>
      <c r="Y2" s="344">
        <f>Y16+SUM(Y29:Y33)</f>
        <v>70039951.570894435</v>
      </c>
      <c r="Z2" s="341"/>
      <c r="AA2" s="345">
        <f>AF2/G2</f>
        <v>6.0391513105901351E-2</v>
      </c>
      <c r="AB2" s="345">
        <f>AG2/H2</f>
        <v>0.12021988850299277</v>
      </c>
      <c r="AC2" s="345">
        <f>AH2/I2</f>
        <v>0.16442962329831518</v>
      </c>
      <c r="AD2" s="345">
        <f>AI2/J2</f>
        <v>0.12602200117759163</v>
      </c>
      <c r="AE2" s="343"/>
      <c r="AF2" s="401">
        <f>(AF16+SUM(AF29:AF33))/1000</f>
        <v>3419.8252400190313</v>
      </c>
      <c r="AG2" s="401">
        <f t="shared" ref="AG2:AI2" si="0">(AG16+SUM(AG29:AG33))/1000</f>
        <v>3881.664082464496</v>
      </c>
      <c r="AH2" s="401">
        <f t="shared" si="0"/>
        <v>16712.985778423088</v>
      </c>
      <c r="AI2" s="401">
        <f t="shared" si="0"/>
        <v>24014.475100906617</v>
      </c>
      <c r="AJ2" s="342"/>
    </row>
    <row r="3" spans="1:45" ht="17">
      <c r="A3" s="383" t="s">
        <v>180</v>
      </c>
      <c r="B3" s="169"/>
      <c r="C3" s="365"/>
      <c r="D3" s="35"/>
      <c r="E3" s="1"/>
      <c r="F3" s="337" t="s">
        <v>16</v>
      </c>
      <c r="G3" s="413"/>
      <c r="H3" s="413"/>
      <c r="I3" s="413"/>
      <c r="J3" s="413"/>
      <c r="K3" s="1"/>
      <c r="L3" s="1"/>
      <c r="M3" s="1"/>
      <c r="N3" s="1"/>
      <c r="O3" s="1"/>
      <c r="P3" s="346"/>
      <c r="Q3" s="138"/>
      <c r="R3" s="138"/>
      <c r="S3" s="138"/>
      <c r="T3" s="138"/>
      <c r="U3" s="1"/>
      <c r="V3" s="135"/>
      <c r="W3" s="135"/>
      <c r="X3" s="135"/>
      <c r="Y3" s="135"/>
      <c r="Z3" s="51"/>
    </row>
    <row r="4" spans="1:45">
      <c r="A4" s="366" t="s">
        <v>263</v>
      </c>
      <c r="B4" s="170"/>
      <c r="C4" s="365"/>
      <c r="E4" s="1"/>
      <c r="P4" s="346"/>
      <c r="Q4" s="328"/>
      <c r="R4" s="328"/>
      <c r="S4" s="328"/>
      <c r="T4" s="328"/>
      <c r="U4" s="1"/>
      <c r="V4" s="317"/>
      <c r="W4" s="317"/>
      <c r="X4" s="317"/>
      <c r="Y4" s="317"/>
      <c r="Z4" s="51"/>
      <c r="AA4" s="328"/>
      <c r="AB4" s="328"/>
      <c r="AC4" s="328"/>
      <c r="AD4" s="328"/>
      <c r="AF4" s="410" t="s">
        <v>103</v>
      </c>
      <c r="AJ4" s="274"/>
    </row>
    <row r="5" spans="1:45">
      <c r="A5" s="367" t="s">
        <v>219</v>
      </c>
      <c r="B5" s="384"/>
      <c r="C5" s="368"/>
      <c r="E5" s="1"/>
      <c r="G5" s="411"/>
      <c r="H5" s="411"/>
      <c r="I5" s="411"/>
      <c r="J5" s="411"/>
      <c r="K5" s="1"/>
      <c r="L5" s="1"/>
      <c r="M5" s="1"/>
      <c r="N5" s="1"/>
      <c r="O5" s="1"/>
      <c r="P5" s="346"/>
      <c r="Q5" s="138" t="s">
        <v>468</v>
      </c>
      <c r="S5" s="138"/>
      <c r="T5" s="138"/>
      <c r="U5" s="1"/>
      <c r="V5" s="135"/>
      <c r="W5" s="135"/>
      <c r="X5" s="135"/>
      <c r="Y5" s="135"/>
      <c r="Z5" s="51"/>
      <c r="AA5" s="200" t="s">
        <v>451</v>
      </c>
      <c r="AC5" s="398" t="s">
        <v>220</v>
      </c>
      <c r="AF5" s="410" t="s">
        <v>195</v>
      </c>
      <c r="AP5" s="1" t="s">
        <v>275</v>
      </c>
    </row>
    <row r="6" spans="1:45" ht="16" thickBot="1">
      <c r="A6" s="1"/>
      <c r="B6" s="1"/>
      <c r="C6" s="1"/>
      <c r="D6" s="1"/>
      <c r="E6" s="1"/>
      <c r="F6" s="1"/>
      <c r="G6" s="411" t="s">
        <v>347</v>
      </c>
      <c r="H6" s="411"/>
      <c r="I6" s="411"/>
      <c r="J6" s="411"/>
      <c r="K6" s="1"/>
      <c r="L6" s="1" t="s">
        <v>347</v>
      </c>
      <c r="M6" s="1"/>
      <c r="N6" s="1"/>
      <c r="O6" s="1"/>
      <c r="P6" s="346"/>
      <c r="Q6" s="138" t="s">
        <v>39</v>
      </c>
      <c r="S6" s="23"/>
      <c r="T6" s="23"/>
      <c r="U6" s="1"/>
      <c r="V6" s="27"/>
      <c r="W6" s="27"/>
      <c r="X6" s="27"/>
      <c r="Y6" s="27"/>
      <c r="Z6" s="51"/>
      <c r="AA6" s="195" t="s">
        <v>140</v>
      </c>
    </row>
    <row r="7" spans="1:45" ht="16" thickBot="1">
      <c r="A7" s="8" t="s">
        <v>364</v>
      </c>
      <c r="B7" s="1"/>
      <c r="C7" s="1"/>
      <c r="D7" s="1"/>
      <c r="E7" s="1"/>
      <c r="F7" s="1"/>
      <c r="G7" s="415" t="s">
        <v>389</v>
      </c>
      <c r="H7" s="416"/>
      <c r="I7" s="416"/>
      <c r="J7" s="417"/>
      <c r="K7" s="1"/>
      <c r="L7" s="57" t="s">
        <v>497</v>
      </c>
      <c r="M7" s="58"/>
      <c r="N7" s="58"/>
      <c r="O7" s="352"/>
      <c r="P7" s="346"/>
      <c r="Q7" s="24" t="s">
        <v>268</v>
      </c>
      <c r="R7" s="197"/>
      <c r="S7" s="197"/>
      <c r="T7" s="198"/>
      <c r="U7" s="1"/>
      <c r="V7" s="202" t="s">
        <v>658</v>
      </c>
      <c r="W7" s="28"/>
      <c r="X7" s="28"/>
      <c r="Y7" s="29"/>
      <c r="Z7" s="51"/>
      <c r="AA7" s="196" t="s">
        <v>25</v>
      </c>
      <c r="AB7" s="197"/>
      <c r="AC7" s="197"/>
      <c r="AD7" s="198"/>
      <c r="AF7" s="404" t="s">
        <v>383</v>
      </c>
      <c r="AG7" s="405"/>
      <c r="AH7" s="405"/>
      <c r="AI7" s="406"/>
      <c r="AK7" s="196" t="s">
        <v>524</v>
      </c>
      <c r="AL7" s="197"/>
      <c r="AM7" s="197"/>
      <c r="AN7" s="198"/>
      <c r="AO7" s="1"/>
      <c r="AP7" s="202" t="s">
        <v>572</v>
      </c>
      <c r="AQ7" s="203"/>
      <c r="AR7" s="203"/>
      <c r="AS7" s="204"/>
    </row>
    <row r="8" spans="1:45">
      <c r="A8" s="8" t="s">
        <v>365</v>
      </c>
      <c r="B8" s="12" t="s">
        <v>632</v>
      </c>
      <c r="C8" s="1" t="s">
        <v>480</v>
      </c>
      <c r="D8" s="1"/>
      <c r="E8" s="1"/>
      <c r="F8" s="1"/>
      <c r="G8" s="418" t="s">
        <v>405</v>
      </c>
      <c r="H8" s="418" t="s">
        <v>356</v>
      </c>
      <c r="I8" s="418"/>
      <c r="J8" s="418" t="s">
        <v>206</v>
      </c>
      <c r="K8" s="1"/>
      <c r="L8" s="100" t="s">
        <v>405</v>
      </c>
      <c r="M8" s="100" t="s">
        <v>356</v>
      </c>
      <c r="N8" s="100"/>
      <c r="O8" s="100" t="s">
        <v>206</v>
      </c>
      <c r="P8" s="346"/>
      <c r="Q8" s="25" t="s">
        <v>405</v>
      </c>
      <c r="R8" s="25" t="s">
        <v>356</v>
      </c>
      <c r="S8" s="25"/>
      <c r="T8" s="25" t="s">
        <v>206</v>
      </c>
      <c r="U8" s="1"/>
      <c r="V8" s="30" t="s">
        <v>405</v>
      </c>
      <c r="W8" s="30" t="s">
        <v>356</v>
      </c>
      <c r="X8" s="30"/>
      <c r="Y8" s="30" t="s">
        <v>206</v>
      </c>
      <c r="Z8" s="51"/>
      <c r="AA8" s="399" t="s">
        <v>405</v>
      </c>
      <c r="AB8" s="399" t="s">
        <v>356</v>
      </c>
      <c r="AC8" s="382"/>
      <c r="AD8" s="194" t="s">
        <v>206</v>
      </c>
      <c r="AF8" s="407" t="s">
        <v>384</v>
      </c>
      <c r="AG8" s="407" t="s">
        <v>385</v>
      </c>
      <c r="AH8" s="407"/>
      <c r="AI8" s="407" t="s">
        <v>340</v>
      </c>
      <c r="AK8" s="194" t="s">
        <v>405</v>
      </c>
      <c r="AL8" s="194" t="s">
        <v>356</v>
      </c>
      <c r="AM8" s="194"/>
      <c r="AN8" s="194" t="s">
        <v>206</v>
      </c>
      <c r="AO8" s="1"/>
      <c r="AP8" s="205" t="s">
        <v>384</v>
      </c>
      <c r="AQ8" s="205" t="s">
        <v>385</v>
      </c>
      <c r="AR8" s="205"/>
      <c r="AS8" s="205" t="s">
        <v>340</v>
      </c>
    </row>
    <row r="9" spans="1:45">
      <c r="A9" s="8" t="s">
        <v>427</v>
      </c>
      <c r="B9" s="12" t="s">
        <v>207</v>
      </c>
      <c r="C9" s="1" t="s">
        <v>564</v>
      </c>
      <c r="D9" s="1" t="s">
        <v>428</v>
      </c>
      <c r="E9" s="1"/>
      <c r="F9" s="1"/>
      <c r="G9" s="418" t="s">
        <v>249</v>
      </c>
      <c r="H9" s="418" t="s">
        <v>472</v>
      </c>
      <c r="I9" s="418" t="s">
        <v>375</v>
      </c>
      <c r="J9" s="418" t="s">
        <v>472</v>
      </c>
      <c r="K9" s="1"/>
      <c r="L9" s="100" t="s">
        <v>249</v>
      </c>
      <c r="M9" s="100" t="s">
        <v>472</v>
      </c>
      <c r="N9" s="100" t="s">
        <v>375</v>
      </c>
      <c r="O9" s="100" t="s">
        <v>472</v>
      </c>
      <c r="P9" s="346"/>
      <c r="Q9" s="25" t="s">
        <v>249</v>
      </c>
      <c r="R9" s="25" t="s">
        <v>472</v>
      </c>
      <c r="S9" s="25" t="s">
        <v>375</v>
      </c>
      <c r="T9" s="25" t="s">
        <v>472</v>
      </c>
      <c r="U9" s="1"/>
      <c r="V9" s="30" t="s">
        <v>249</v>
      </c>
      <c r="W9" s="30" t="s">
        <v>472</v>
      </c>
      <c r="X9" s="30" t="s">
        <v>375</v>
      </c>
      <c r="Y9" s="30" t="s">
        <v>472</v>
      </c>
      <c r="Z9" s="51"/>
      <c r="AA9" s="399" t="s">
        <v>249</v>
      </c>
      <c r="AB9" s="399" t="s">
        <v>472</v>
      </c>
      <c r="AC9" s="399" t="s">
        <v>375</v>
      </c>
      <c r="AD9" s="194" t="s">
        <v>472</v>
      </c>
      <c r="AF9" s="407" t="s">
        <v>345</v>
      </c>
      <c r="AG9" s="407" t="s">
        <v>346</v>
      </c>
      <c r="AH9" s="407" t="s">
        <v>120</v>
      </c>
      <c r="AI9" s="407" t="s">
        <v>128</v>
      </c>
      <c r="AK9" s="194" t="s">
        <v>249</v>
      </c>
      <c r="AL9" s="194" t="s">
        <v>472</v>
      </c>
      <c r="AM9" s="194" t="s">
        <v>375</v>
      </c>
      <c r="AN9" s="194" t="s">
        <v>472</v>
      </c>
      <c r="AO9" s="1"/>
      <c r="AP9" s="205" t="s">
        <v>345</v>
      </c>
      <c r="AQ9" s="205" t="s">
        <v>346</v>
      </c>
      <c r="AR9" s="205" t="s">
        <v>120</v>
      </c>
      <c r="AS9" s="205" t="s">
        <v>128</v>
      </c>
    </row>
    <row r="10" spans="1:45">
      <c r="A10" s="1"/>
      <c r="B10" s="12"/>
      <c r="C10" s="1"/>
      <c r="D10" s="1"/>
      <c r="E10" s="1"/>
      <c r="F10" s="1"/>
      <c r="G10" s="411"/>
      <c r="H10" s="411"/>
      <c r="I10" s="411"/>
      <c r="J10" s="411"/>
      <c r="K10" s="1"/>
      <c r="L10" s="1"/>
      <c r="M10" s="1"/>
      <c r="N10" s="1"/>
      <c r="O10" s="1"/>
      <c r="P10" s="346"/>
      <c r="Q10" s="49"/>
      <c r="R10" s="49"/>
      <c r="S10" s="49"/>
      <c r="T10" s="49"/>
      <c r="U10" s="49"/>
      <c r="V10" s="49"/>
      <c r="W10" s="49"/>
      <c r="X10" s="49"/>
      <c r="Y10" s="49"/>
      <c r="Z10" s="191"/>
      <c r="AA10" s="382"/>
      <c r="AB10" s="382"/>
      <c r="AC10" s="382"/>
    </row>
    <row r="11" spans="1:45">
      <c r="A11" s="1">
        <v>1</v>
      </c>
      <c r="B11" s="13" t="s">
        <v>165</v>
      </c>
      <c r="C11" s="4" t="s">
        <v>166</v>
      </c>
      <c r="D11" s="38" t="s">
        <v>644</v>
      </c>
      <c r="E11" s="1"/>
      <c r="F11" s="1"/>
      <c r="G11" s="446">
        <f>SUM(G12:G22)</f>
        <v>2036.7271116484985</v>
      </c>
      <c r="H11" s="446">
        <f>SUM(H12:H22)</f>
        <v>9385.3938245611353</v>
      </c>
      <c r="I11" s="446">
        <f>SUM(I12:I22)</f>
        <v>3696.0366600576413</v>
      </c>
      <c r="J11" s="446">
        <f>G11+H11+I11</f>
        <v>15118.157596267276</v>
      </c>
      <c r="K11" s="246"/>
      <c r="L11" s="128">
        <f>SUM(L12:L22)</f>
        <v>3437.1615697741568</v>
      </c>
      <c r="M11" s="128">
        <f>SUM(M12:M22)</f>
        <v>13795.452725362811</v>
      </c>
      <c r="N11" s="128">
        <f>SUM(N12:N22)</f>
        <v>6445.6587433078648</v>
      </c>
      <c r="O11" s="128">
        <f t="shared" ref="O11:O21" si="1">L11+M11+N11</f>
        <v>23678.273038444833</v>
      </c>
      <c r="P11" s="456"/>
      <c r="Q11" s="286">
        <f t="shared" ref="Q11:Q20" si="2">V11/G11</f>
        <v>312.11970108993222</v>
      </c>
      <c r="R11" s="286">
        <f t="shared" ref="R11:R20" si="3">W11/H11</f>
        <v>561.81383323035072</v>
      </c>
      <c r="S11" s="286">
        <f t="shared" ref="S11:S20" si="4">X11/I11</f>
        <v>1103.2709936079123</v>
      </c>
      <c r="T11" s="286">
        <f t="shared" ref="T11:T20" si="5">Y11/J11</f>
        <v>660.54853000483024</v>
      </c>
      <c r="U11" s="246"/>
      <c r="V11" s="246">
        <f>SUM(V12:V22)</f>
        <v>635702.65728949034</v>
      </c>
      <c r="W11" s="246">
        <f>SUM(W12:W22)</f>
        <v>5272844.0809531529</v>
      </c>
      <c r="X11" s="246">
        <f>SUM(X12:X22)</f>
        <v>4077730.0383530636</v>
      </c>
      <c r="Y11" s="246">
        <f>V11+W11+X11</f>
        <v>9986276.7765957061</v>
      </c>
      <c r="Z11" s="128"/>
      <c r="AA11" s="457">
        <f>AF11/G11</f>
        <v>46.698745311033541</v>
      </c>
      <c r="AB11" s="457">
        <f t="shared" ref="AB11:AD11" si="6">AG11/H11</f>
        <v>103.45614049581889</v>
      </c>
      <c r="AC11" s="457">
        <f t="shared" si="6"/>
        <v>582.82094720929751</v>
      </c>
      <c r="AD11" s="457">
        <f t="shared" si="6"/>
        <v>213.00325713680238</v>
      </c>
      <c r="AE11" s="288"/>
      <c r="AF11" s="446">
        <f>SUM(AF12:AF22)</f>
        <v>95112.600654950205</v>
      </c>
      <c r="AG11" s="446">
        <f>SUM(AG12:AG22)</f>
        <v>970976.62212238775</v>
      </c>
      <c r="AH11" s="446">
        <f>SUM(AH12:AH22)</f>
        <v>2154127.587135083</v>
      </c>
      <c r="AI11" s="446">
        <f>AF11+AG11+AH11</f>
        <v>3220216.8099124208</v>
      </c>
      <c r="AJ11" s="458"/>
      <c r="AK11" s="286">
        <f t="shared" ref="AK11:AK20" si="7">AP11/G11</f>
        <v>358.8184464009658</v>
      </c>
      <c r="AL11" s="286">
        <f t="shared" ref="AL11:AL20" si="8">AQ11/H11</f>
        <v>665.2699737261695</v>
      </c>
      <c r="AM11" s="286">
        <f t="shared" ref="AM11:AM20" si="9">AR11/I11</f>
        <v>1686.0919408172099</v>
      </c>
      <c r="AN11" s="286">
        <f t="shared" ref="AN11:AN20" si="10">AS11/J11</f>
        <v>873.55178714163253</v>
      </c>
      <c r="AO11" s="459"/>
      <c r="AP11" s="460">
        <f>SUM(AP12:AP22)</f>
        <v>730815.2579444407</v>
      </c>
      <c r="AQ11" s="460">
        <f>SUM(AQ12:AQ22)</f>
        <v>6243820.7030755403</v>
      </c>
      <c r="AR11" s="460">
        <f>SUM(AR12:AR22)</f>
        <v>6231857.6254881462</v>
      </c>
      <c r="AS11" s="460">
        <f>AP11+AQ11+AR11</f>
        <v>13206493.586508127</v>
      </c>
    </row>
    <row r="12" spans="1:45">
      <c r="A12" s="1">
        <v>2</v>
      </c>
      <c r="B12" s="14" t="s">
        <v>360</v>
      </c>
      <c r="C12" s="5" t="s">
        <v>361</v>
      </c>
      <c r="D12" s="2" t="s">
        <v>205</v>
      </c>
      <c r="E12" s="1"/>
      <c r="F12" s="1"/>
      <c r="G12" s="446">
        <f>'(2) Homes for non-HH earners'!G16</f>
        <v>73.068323586118268</v>
      </c>
      <c r="H12" s="446">
        <f>'(2) Homes for non-HH earners'!H16</f>
        <v>418.37451309653005</v>
      </c>
      <c r="I12" s="446">
        <f>'(2) Homes for non-HH earners'!I16</f>
        <v>882.38165577173538</v>
      </c>
      <c r="J12" s="446">
        <f>G12+H12+I12</f>
        <v>1373.8244924543837</v>
      </c>
      <c r="K12" s="246"/>
      <c r="L12" s="128">
        <v>164.34197698378634</v>
      </c>
      <c r="M12" s="128">
        <v>613.87144256812326</v>
      </c>
      <c r="N12" s="128">
        <v>1733.362916060456</v>
      </c>
      <c r="O12" s="128">
        <f t="shared" si="1"/>
        <v>2511.5763356123657</v>
      </c>
      <c r="P12" s="456"/>
      <c r="Q12" s="286">
        <f t="shared" si="2"/>
        <v>2301.5880960283748</v>
      </c>
      <c r="R12" s="286">
        <f t="shared" si="3"/>
        <v>2128.0367685602801</v>
      </c>
      <c r="S12" s="286">
        <f t="shared" si="4"/>
        <v>3262.2829959104115</v>
      </c>
      <c r="T12" s="286">
        <f t="shared" si="5"/>
        <v>2865.7723193988049</v>
      </c>
      <c r="U12" s="246"/>
      <c r="V12" s="246">
        <v>168173.18376255914</v>
      </c>
      <c r="W12" s="246">
        <v>890316.34689792036</v>
      </c>
      <c r="X12" s="246">
        <v>2878578.6715274062</v>
      </c>
      <c r="Y12" s="246">
        <f t="shared" ref="Y12:Y40" si="11">V12+W12+X12</f>
        <v>3937068.2021878855</v>
      </c>
      <c r="Z12" s="128"/>
      <c r="AA12" s="457">
        <v>315.55221315517986</v>
      </c>
      <c r="AB12" s="457">
        <v>309.49734556346704</v>
      </c>
      <c r="AC12" s="457">
        <v>1578.1445403057689</v>
      </c>
      <c r="AD12" s="286">
        <v>1732.3927200498772</v>
      </c>
      <c r="AE12" s="288"/>
      <c r="AF12" s="446">
        <f t="shared" ref="AF12:AF20" si="12">G12*AA12</f>
        <v>23056.871219138447</v>
      </c>
      <c r="AG12" s="446">
        <f t="shared" ref="AG12:AG20" si="13">H12*AB12</f>
        <v>129485.80125478403</v>
      </c>
      <c r="AH12" s="446">
        <f t="shared" ref="AH12:AH20" si="14">I12*AC12</f>
        <v>1392525.7925221287</v>
      </c>
      <c r="AI12" s="446">
        <f t="shared" ref="AI12:AI20" si="15">AF12+AG12+AH12</f>
        <v>1545068.464996051</v>
      </c>
      <c r="AJ12" s="458"/>
      <c r="AK12" s="286">
        <f t="shared" si="7"/>
        <v>2617.1403091835546</v>
      </c>
      <c r="AL12" s="286">
        <f t="shared" si="8"/>
        <v>2437.5341141237468</v>
      </c>
      <c r="AM12" s="286">
        <f t="shared" si="9"/>
        <v>4840.4275362161807</v>
      </c>
      <c r="AN12" s="286">
        <f t="shared" si="10"/>
        <v>3990.4199534177142</v>
      </c>
      <c r="AO12" s="459"/>
      <c r="AP12" s="460">
        <f>V12+AF12</f>
        <v>191230.05498169758</v>
      </c>
      <c r="AQ12" s="460">
        <f>W12+AG12</f>
        <v>1019802.1481527044</v>
      </c>
      <c r="AR12" s="460">
        <f>X12+AH12</f>
        <v>4271104.4640495349</v>
      </c>
      <c r="AS12" s="460">
        <f t="shared" ref="AS12:AS46" si="16">AP12+AQ12+AR12</f>
        <v>5482136.6671839366</v>
      </c>
    </row>
    <row r="13" spans="1:45">
      <c r="A13" s="1">
        <v>3</v>
      </c>
      <c r="B13" s="14"/>
      <c r="C13" s="5" t="s">
        <v>191</v>
      </c>
      <c r="D13" s="2" t="s">
        <v>372</v>
      </c>
      <c r="E13" s="1"/>
      <c r="F13" s="1"/>
      <c r="G13" s="446">
        <f>'(2) Homes for non-HH earners'!G17</f>
        <v>405.1970671593831</v>
      </c>
      <c r="H13" s="446">
        <f>'(2) Homes for non-HH earners'!H17</f>
        <v>2386.8172746096379</v>
      </c>
      <c r="I13" s="446">
        <f>'(2) Homes for non-HH earners'!I17</f>
        <v>930.99772496026071</v>
      </c>
      <c r="J13" s="446">
        <f t="shared" ref="J13:J22" si="17">G13+H13+I13</f>
        <v>3723.0120667292817</v>
      </c>
      <c r="K13" s="246"/>
      <c r="L13" s="128">
        <v>911.35096327372412</v>
      </c>
      <c r="M13" s="128">
        <v>3502.1229010025154</v>
      </c>
      <c r="N13" s="128">
        <v>1828.8650050995996</v>
      </c>
      <c r="O13" s="128">
        <f t="shared" si="1"/>
        <v>6242.3388693758388</v>
      </c>
      <c r="P13" s="456"/>
      <c r="Q13" s="286">
        <f t="shared" si="2"/>
        <v>414.68568164609638</v>
      </c>
      <c r="R13" s="286">
        <f t="shared" si="3"/>
        <v>1076.2512523700495</v>
      </c>
      <c r="S13" s="286">
        <f t="shared" si="4"/>
        <v>507.27549959361124</v>
      </c>
      <c r="T13" s="286">
        <f t="shared" si="5"/>
        <v>861.96788554651789</v>
      </c>
      <c r="U13" s="246"/>
      <c r="V13" s="246">
        <v>168029.42199598788</v>
      </c>
      <c r="W13" s="246">
        <v>2568815.0809770911</v>
      </c>
      <c r="X13" s="246">
        <v>472272.3360497317</v>
      </c>
      <c r="Y13" s="246">
        <f t="shared" si="11"/>
        <v>3209116.8390228106</v>
      </c>
      <c r="Z13" s="128"/>
      <c r="AA13" s="457">
        <v>116.7301793535444</v>
      </c>
      <c r="AB13" s="457">
        <v>203.56716305408384</v>
      </c>
      <c r="AC13" s="457">
        <v>77.459813446997401</v>
      </c>
      <c r="AD13" s="286">
        <v>157.38898066999803</v>
      </c>
      <c r="AE13" s="288"/>
      <c r="AF13" s="446">
        <f t="shared" si="12"/>
        <v>47298.726323044968</v>
      </c>
      <c r="AG13" s="446">
        <f t="shared" si="13"/>
        <v>485877.62132076418</v>
      </c>
      <c r="AH13" s="446">
        <f t="shared" si="14"/>
        <v>72114.910095000785</v>
      </c>
      <c r="AI13" s="446">
        <f t="shared" si="15"/>
        <v>605291.25773880992</v>
      </c>
      <c r="AJ13" s="458"/>
      <c r="AK13" s="286">
        <f t="shared" si="7"/>
        <v>531.41586099964081</v>
      </c>
      <c r="AL13" s="286">
        <f t="shared" si="8"/>
        <v>1279.8184154241333</v>
      </c>
      <c r="AM13" s="286">
        <f t="shared" si="9"/>
        <v>584.73531304060862</v>
      </c>
      <c r="AN13" s="286">
        <f t="shared" si="10"/>
        <v>1024.5489481081997</v>
      </c>
      <c r="AO13" s="459"/>
      <c r="AP13" s="460">
        <f t="shared" ref="AP13:AP38" si="18">V13+AF13</f>
        <v>215328.14831903286</v>
      </c>
      <c r="AQ13" s="460">
        <f t="shared" ref="AQ13:AQ41" si="19">W13+AG13</f>
        <v>3054692.7022978552</v>
      </c>
      <c r="AR13" s="460">
        <f t="shared" ref="AR13:AR40" si="20">X13+AH13</f>
        <v>544387.24614473246</v>
      </c>
      <c r="AS13" s="460">
        <f t="shared" si="16"/>
        <v>3814408.0967616206</v>
      </c>
    </row>
    <row r="14" spans="1:45">
      <c r="A14" s="1">
        <v>4</v>
      </c>
      <c r="B14" s="14" t="s">
        <v>374</v>
      </c>
      <c r="C14" s="5" t="s">
        <v>174</v>
      </c>
      <c r="D14" s="38" t="s">
        <v>33</v>
      </c>
      <c r="E14" s="1"/>
      <c r="F14" s="1"/>
      <c r="G14" s="446">
        <f>'(2) Homes for non-HH earners'!G18</f>
        <v>273</v>
      </c>
      <c r="H14" s="446">
        <f>'(2) Homes for non-HH earners'!H18</f>
        <v>1514</v>
      </c>
      <c r="I14" s="446">
        <f>'(2) Homes for non-HH earners'!I18</f>
        <v>299</v>
      </c>
      <c r="J14" s="446">
        <f t="shared" si="17"/>
        <v>2086</v>
      </c>
      <c r="K14" s="246"/>
      <c r="L14" s="128">
        <v>614.01928379669744</v>
      </c>
      <c r="M14" s="128">
        <v>2221.457892282509</v>
      </c>
      <c r="N14" s="128">
        <v>587.35979891693239</v>
      </c>
      <c r="O14" s="128">
        <f t="shared" si="1"/>
        <v>3422.8369749961389</v>
      </c>
      <c r="P14" s="456"/>
      <c r="Q14" s="286">
        <f t="shared" si="2"/>
        <v>360.1614293617086</v>
      </c>
      <c r="R14" s="286">
        <f t="shared" si="3"/>
        <v>375.02305427456565</v>
      </c>
      <c r="S14" s="286">
        <f t="shared" si="4"/>
        <v>378.52299591041134</v>
      </c>
      <c r="T14" s="286">
        <f t="shared" si="5"/>
        <v>373.57974600414758</v>
      </c>
      <c r="U14" s="246"/>
      <c r="V14" s="246">
        <v>98324.07021574644</v>
      </c>
      <c r="W14" s="246">
        <v>567784.90417169244</v>
      </c>
      <c r="X14" s="246">
        <v>113178.37577721299</v>
      </c>
      <c r="Y14" s="246">
        <f t="shared" si="11"/>
        <v>779287.35016465187</v>
      </c>
      <c r="Z14" s="128"/>
      <c r="AA14" s="457">
        <v>43.028828716563922</v>
      </c>
      <c r="AB14" s="457">
        <v>137.54915569934698</v>
      </c>
      <c r="AC14" s="457">
        <v>233.29624915256639</v>
      </c>
      <c r="AD14" s="286">
        <v>141.45743139273671</v>
      </c>
      <c r="AE14" s="288"/>
      <c r="AF14" s="446">
        <f t="shared" si="12"/>
        <v>11746.870239621951</v>
      </c>
      <c r="AG14" s="446">
        <f t="shared" si="13"/>
        <v>208249.42172881134</v>
      </c>
      <c r="AH14" s="446">
        <f t="shared" si="14"/>
        <v>69755.578496617352</v>
      </c>
      <c r="AI14" s="446">
        <f t="shared" si="15"/>
        <v>289751.87046505068</v>
      </c>
      <c r="AJ14" s="458"/>
      <c r="AK14" s="286">
        <f t="shared" si="7"/>
        <v>403.19025807827245</v>
      </c>
      <c r="AL14" s="286">
        <f t="shared" si="8"/>
        <v>512.57220997391266</v>
      </c>
      <c r="AM14" s="286">
        <f t="shared" si="9"/>
        <v>611.81924506297776</v>
      </c>
      <c r="AN14" s="286">
        <f t="shared" si="10"/>
        <v>512.48284785700025</v>
      </c>
      <c r="AO14" s="459"/>
      <c r="AP14" s="460">
        <f t="shared" si="18"/>
        <v>110070.94045536839</v>
      </c>
      <c r="AQ14" s="460">
        <f t="shared" si="19"/>
        <v>776034.32590050378</v>
      </c>
      <c r="AR14" s="460">
        <f t="shared" si="20"/>
        <v>182933.95427383034</v>
      </c>
      <c r="AS14" s="460">
        <f t="shared" si="16"/>
        <v>1069039.2206297026</v>
      </c>
    </row>
    <row r="15" spans="1:45">
      <c r="A15" s="1">
        <v>5</v>
      </c>
      <c r="B15" s="14" t="s">
        <v>359</v>
      </c>
      <c r="C15" s="5" t="s">
        <v>163</v>
      </c>
      <c r="D15" s="4" t="s">
        <v>483</v>
      </c>
      <c r="E15" s="1"/>
      <c r="F15" s="1"/>
      <c r="G15" s="446">
        <f>'(2) Homes for non-HH earners'!G19</f>
        <v>197.82570688946015</v>
      </c>
      <c r="H15" s="446">
        <f>'(2) Homes for non-HH earners'!H19</f>
        <v>685.91208771434367</v>
      </c>
      <c r="I15" s="446">
        <f>'(2) Homes for non-HH earners'!I19</f>
        <v>216.02648296594066</v>
      </c>
      <c r="J15" s="446">
        <f t="shared" si="17"/>
        <v>1099.7642775697445</v>
      </c>
      <c r="K15" s="246"/>
      <c r="L15" s="128">
        <v>444.94065516791829</v>
      </c>
      <c r="M15" s="128">
        <v>1006.4232633190234</v>
      </c>
      <c r="N15" s="128">
        <v>424.36545684149507</v>
      </c>
      <c r="O15" s="128">
        <f t="shared" si="1"/>
        <v>1875.7293753284366</v>
      </c>
      <c r="P15" s="456"/>
      <c r="Q15" s="286">
        <f t="shared" si="2"/>
        <v>425.10254047281961</v>
      </c>
      <c r="R15" s="286">
        <f t="shared" si="3"/>
        <v>466.35438760789901</v>
      </c>
      <c r="S15" s="286">
        <f t="shared" si="4"/>
        <v>492.03299591041127</v>
      </c>
      <c r="T15" s="286">
        <f t="shared" si="5"/>
        <v>463.97804530051252</v>
      </c>
      <c r="U15" s="246"/>
      <c r="V15" s="246">
        <v>84096.210569540883</v>
      </c>
      <c r="W15" s="246">
        <v>319878.11161887826</v>
      </c>
      <c r="X15" s="246">
        <v>106292.15760972121</v>
      </c>
      <c r="Y15" s="246">
        <f t="shared" si="11"/>
        <v>510266.47979814035</v>
      </c>
      <c r="Z15" s="128"/>
      <c r="AA15" s="457">
        <v>43.028828716563922</v>
      </c>
      <c r="AB15" s="457">
        <v>137.54915569934698</v>
      </c>
      <c r="AC15" s="457">
        <v>233.29624915256639</v>
      </c>
      <c r="AD15" s="286">
        <v>141.87304746886508</v>
      </c>
      <c r="AE15" s="288"/>
      <c r="AF15" s="446">
        <f t="shared" si="12"/>
        <v>8512.2084574797609</v>
      </c>
      <c r="AG15" s="446">
        <f t="shared" si="13"/>
        <v>94346.628549084402</v>
      </c>
      <c r="AH15" s="446">
        <f t="shared" si="14"/>
        <v>50398.168193574733</v>
      </c>
      <c r="AI15" s="446">
        <f t="shared" si="15"/>
        <v>153257.0052001389</v>
      </c>
      <c r="AJ15" s="458"/>
      <c r="AK15" s="286">
        <f t="shared" si="7"/>
        <v>468.13136918938352</v>
      </c>
      <c r="AL15" s="286">
        <f t="shared" si="8"/>
        <v>603.90354330724608</v>
      </c>
      <c r="AM15" s="286">
        <f t="shared" si="9"/>
        <v>725.32924506297763</v>
      </c>
      <c r="AN15" s="286">
        <f t="shared" si="10"/>
        <v>603.33245817415639</v>
      </c>
      <c r="AO15" s="459"/>
      <c r="AP15" s="460">
        <f t="shared" si="18"/>
        <v>92608.419027020645</v>
      </c>
      <c r="AQ15" s="460">
        <f t="shared" si="19"/>
        <v>414224.74016796268</v>
      </c>
      <c r="AR15" s="460">
        <f t="shared" si="20"/>
        <v>156690.32580329594</v>
      </c>
      <c r="AS15" s="460">
        <f t="shared" si="16"/>
        <v>663523.48499827925</v>
      </c>
    </row>
    <row r="16" spans="1:45">
      <c r="A16" s="1">
        <v>6</v>
      </c>
      <c r="B16" s="14" t="s">
        <v>314</v>
      </c>
      <c r="C16" s="5" t="s">
        <v>324</v>
      </c>
      <c r="D16" s="38" t="s">
        <v>496</v>
      </c>
      <c r="E16" s="1"/>
      <c r="F16" s="1"/>
      <c r="G16" s="446">
        <f>'(2) Homes for non-HH earners'!G20</f>
        <v>8.0144387200686378</v>
      </c>
      <c r="H16" s="446">
        <f>'(2) Homes for non-HH earners'!H20</f>
        <v>254.68015419186904</v>
      </c>
      <c r="I16" s="446">
        <f>'(2) Homes for non-HH earners'!I20</f>
        <v>384.67464745420693</v>
      </c>
      <c r="J16" s="446">
        <f t="shared" si="17"/>
        <v>647.3692403661446</v>
      </c>
      <c r="K16" s="246"/>
      <c r="L16" s="128">
        <v>18.025714003403166</v>
      </c>
      <c r="M16" s="128">
        <v>373.68641911311346</v>
      </c>
      <c r="N16" s="128">
        <v>755.6602795222235</v>
      </c>
      <c r="O16" s="128">
        <f t="shared" si="1"/>
        <v>1147.3724126387401</v>
      </c>
      <c r="P16" s="456"/>
      <c r="Q16" s="286">
        <f t="shared" si="2"/>
        <v>355.09402585293662</v>
      </c>
      <c r="R16" s="286">
        <f t="shared" si="3"/>
        <v>366.64021629799782</v>
      </c>
      <c r="S16" s="286">
        <f t="shared" si="4"/>
        <v>822.03299591041127</v>
      </c>
      <c r="T16" s="286">
        <f t="shared" si="5"/>
        <v>637.09718242724728</v>
      </c>
      <c r="U16" s="246"/>
      <c r="V16" s="246">
        <v>2845.8793100608291</v>
      </c>
      <c r="W16" s="246">
        <v>93375.986819714308</v>
      </c>
      <c r="X16" s="246">
        <v>316215.25289756298</v>
      </c>
      <c r="Y16" s="246">
        <f t="shared" si="11"/>
        <v>412437.11902733811</v>
      </c>
      <c r="Z16" s="128"/>
      <c r="AA16" s="457">
        <v>26.873229935943062</v>
      </c>
      <c r="AB16" s="457">
        <v>22.614155001121127</v>
      </c>
      <c r="AC16" s="457">
        <v>1273.7051736752167</v>
      </c>
      <c r="AD16" s="286">
        <v>273.866161395213</v>
      </c>
      <c r="AE16" s="288"/>
      <c r="AF16" s="446">
        <f t="shared" si="12"/>
        <v>215.37385453192971</v>
      </c>
      <c r="AG16" s="446">
        <f t="shared" si="13"/>
        <v>5759.3764826043544</v>
      </c>
      <c r="AH16" s="446">
        <f t="shared" si="14"/>
        <v>489962.08864411339</v>
      </c>
      <c r="AI16" s="446">
        <f t="shared" si="15"/>
        <v>495936.83898124966</v>
      </c>
      <c r="AJ16" s="458"/>
      <c r="AK16" s="286">
        <f t="shared" si="7"/>
        <v>381.9672557888797</v>
      </c>
      <c r="AL16" s="286">
        <f t="shared" si="8"/>
        <v>389.25437129911893</v>
      </c>
      <c r="AM16" s="286">
        <f t="shared" si="9"/>
        <v>2095.7381695856279</v>
      </c>
      <c r="AN16" s="286">
        <f t="shared" si="10"/>
        <v>1403.1775088585023</v>
      </c>
      <c r="AO16" s="459"/>
      <c r="AP16" s="460">
        <f t="shared" si="18"/>
        <v>3061.2531645927588</v>
      </c>
      <c r="AQ16" s="460">
        <f t="shared" si="19"/>
        <v>99135.363302318656</v>
      </c>
      <c r="AR16" s="460">
        <f t="shared" si="20"/>
        <v>806177.34154167632</v>
      </c>
      <c r="AS16" s="460">
        <f t="shared" si="16"/>
        <v>908373.95800858771</v>
      </c>
    </row>
    <row r="17" spans="1:46">
      <c r="A17" s="1">
        <v>7</v>
      </c>
      <c r="B17" s="14" t="s">
        <v>490</v>
      </c>
      <c r="C17" s="5" t="s">
        <v>491</v>
      </c>
      <c r="D17" s="4" t="s">
        <v>247</v>
      </c>
      <c r="E17" s="1"/>
      <c r="F17" s="1"/>
      <c r="G17" s="446">
        <f>'(2) Homes for non-HH earners'!G21</f>
        <v>164</v>
      </c>
      <c r="H17" s="446">
        <f>'(2) Homes for non-HH earners'!H21</f>
        <v>860</v>
      </c>
      <c r="I17" s="446">
        <f>'(2) Homes for non-HH earners'!I21</f>
        <v>138</v>
      </c>
      <c r="J17" s="446">
        <f t="shared" si="17"/>
        <v>1162</v>
      </c>
      <c r="K17" s="246"/>
      <c r="L17" s="128">
        <v>368.86140125515885</v>
      </c>
      <c r="M17" s="128">
        <v>1261.8585121287699</v>
      </c>
      <c r="N17" s="128">
        <v>271.08913796166109</v>
      </c>
      <c r="O17" s="128">
        <f t="shared" si="1"/>
        <v>1901.80905134559</v>
      </c>
      <c r="P17" s="456"/>
      <c r="Q17" s="286">
        <f t="shared" si="2"/>
        <v>281.97652439024392</v>
      </c>
      <c r="R17" s="286">
        <f t="shared" si="3"/>
        <v>318.9130542745657</v>
      </c>
      <c r="S17" s="286">
        <f t="shared" si="4"/>
        <v>361.71299591041128</v>
      </c>
      <c r="T17" s="286">
        <f t="shared" si="5"/>
        <v>318.78293469170677</v>
      </c>
      <c r="U17" s="246"/>
      <c r="V17" s="246">
        <v>46244.15</v>
      </c>
      <c r="W17" s="246">
        <v>274265.22667612648</v>
      </c>
      <c r="X17" s="246">
        <v>49916.393435636754</v>
      </c>
      <c r="Y17" s="246">
        <f t="shared" si="11"/>
        <v>370425.77011176327</v>
      </c>
      <c r="Z17" s="128"/>
      <c r="AA17" s="457">
        <v>12.264956329279965</v>
      </c>
      <c r="AB17" s="457">
        <v>39.74842313346749</v>
      </c>
      <c r="AC17" s="457">
        <v>64.491532800000002</v>
      </c>
      <c r="AD17" s="286">
        <v>42.913308399691772</v>
      </c>
      <c r="AE17" s="288"/>
      <c r="AF17" s="446">
        <f t="shared" si="12"/>
        <v>2011.4528380019142</v>
      </c>
      <c r="AG17" s="446">
        <f t="shared" si="13"/>
        <v>34183.643894782042</v>
      </c>
      <c r="AH17" s="446">
        <f t="shared" si="14"/>
        <v>8899.8315263999993</v>
      </c>
      <c r="AI17" s="446">
        <f t="shared" si="15"/>
        <v>45094.928259183951</v>
      </c>
      <c r="AJ17" s="458"/>
      <c r="AK17" s="286">
        <f t="shared" si="7"/>
        <v>294.24148071952385</v>
      </c>
      <c r="AL17" s="286">
        <f t="shared" si="8"/>
        <v>358.66147740803319</v>
      </c>
      <c r="AM17" s="286">
        <f t="shared" si="9"/>
        <v>426.20452871041124</v>
      </c>
      <c r="AN17" s="286">
        <f t="shared" si="10"/>
        <v>357.59096245348297</v>
      </c>
      <c r="AO17" s="459"/>
      <c r="AP17" s="460">
        <f t="shared" si="18"/>
        <v>48255.602838001912</v>
      </c>
      <c r="AQ17" s="460">
        <f t="shared" si="19"/>
        <v>308448.87057090853</v>
      </c>
      <c r="AR17" s="460">
        <f t="shared" si="20"/>
        <v>58816.224962036751</v>
      </c>
      <c r="AS17" s="460">
        <f t="shared" si="16"/>
        <v>415520.69837094721</v>
      </c>
    </row>
    <row r="18" spans="1:46">
      <c r="A18" s="1">
        <v>8</v>
      </c>
      <c r="B18" s="14"/>
      <c r="C18" s="5" t="s">
        <v>248</v>
      </c>
      <c r="D18" s="4" t="s">
        <v>171</v>
      </c>
      <c r="E18" s="1"/>
      <c r="F18" s="1"/>
      <c r="G18" s="446">
        <f>'(2) Homes for non-HH earners'!G22</f>
        <v>40.591306041131133</v>
      </c>
      <c r="H18" s="446">
        <f>'(2) Homes for non-HH earners'!H22</f>
        <v>235.94180362566135</v>
      </c>
      <c r="I18" s="446">
        <f>'(2) Homes for non-HH earners'!I22</f>
        <v>88.064721726642944</v>
      </c>
      <c r="J18" s="446">
        <f t="shared" si="17"/>
        <v>364.5978313934354</v>
      </c>
      <c r="K18" s="246"/>
      <c r="L18" s="128">
        <v>40.591306041131133</v>
      </c>
      <c r="M18" s="128">
        <v>235.94180362566135</v>
      </c>
      <c r="N18" s="128">
        <v>88.064721726642944</v>
      </c>
      <c r="O18" s="128">
        <f t="shared" si="1"/>
        <v>364.5978313934354</v>
      </c>
      <c r="P18" s="456"/>
      <c r="Q18" s="286">
        <f t="shared" si="2"/>
        <v>54.97</v>
      </c>
      <c r="R18" s="286">
        <f t="shared" si="3"/>
        <v>59.940000000000005</v>
      </c>
      <c r="S18" s="286">
        <f t="shared" si="4"/>
        <v>59.94</v>
      </c>
      <c r="T18" s="286">
        <f t="shared" si="5"/>
        <v>59.386681319377558</v>
      </c>
      <c r="U18" s="246"/>
      <c r="V18" s="246">
        <v>2231.3040930809784</v>
      </c>
      <c r="W18" s="246">
        <v>14142.351709322142</v>
      </c>
      <c r="X18" s="246">
        <v>5278.5994202949778</v>
      </c>
      <c r="Y18" s="246">
        <f t="shared" si="11"/>
        <v>21652.255222698099</v>
      </c>
      <c r="Z18" s="128"/>
      <c r="AA18" s="457"/>
      <c r="AB18" s="457"/>
      <c r="AC18" s="457"/>
      <c r="AD18" s="286"/>
      <c r="AE18" s="288"/>
      <c r="AF18" s="446">
        <f t="shared" si="12"/>
        <v>0</v>
      </c>
      <c r="AG18" s="446">
        <f t="shared" si="13"/>
        <v>0</v>
      </c>
      <c r="AH18" s="446">
        <f t="shared" si="14"/>
        <v>0</v>
      </c>
      <c r="AI18" s="446">
        <f t="shared" si="15"/>
        <v>0</v>
      </c>
      <c r="AJ18" s="458"/>
      <c r="AK18" s="286">
        <f t="shared" si="7"/>
        <v>54.97</v>
      </c>
      <c r="AL18" s="286">
        <f t="shared" si="8"/>
        <v>59.940000000000005</v>
      </c>
      <c r="AM18" s="286">
        <f t="shared" si="9"/>
        <v>59.94</v>
      </c>
      <c r="AN18" s="286">
        <f t="shared" si="10"/>
        <v>59.386681319377558</v>
      </c>
      <c r="AO18" s="459"/>
      <c r="AP18" s="460">
        <f t="shared" si="18"/>
        <v>2231.3040930809784</v>
      </c>
      <c r="AQ18" s="460">
        <f t="shared" si="19"/>
        <v>14142.351709322142</v>
      </c>
      <c r="AR18" s="460">
        <f t="shared" si="20"/>
        <v>5278.5994202949778</v>
      </c>
      <c r="AS18" s="460">
        <f t="shared" si="16"/>
        <v>21652.255222698099</v>
      </c>
    </row>
    <row r="19" spans="1:46">
      <c r="A19" s="1">
        <v>9</v>
      </c>
      <c r="B19" s="14"/>
      <c r="C19" s="4" t="s">
        <v>148</v>
      </c>
      <c r="D19" s="37" t="s">
        <v>255</v>
      </c>
      <c r="E19" s="1"/>
      <c r="F19" s="1"/>
      <c r="G19" s="446">
        <f>'(2) Homes for non-HH earners'!G23</f>
        <v>104.9526829691517</v>
      </c>
      <c r="H19" s="446">
        <f>'(2) Homes for non-HH earners'!H23</f>
        <v>1139.8754213249404</v>
      </c>
      <c r="I19" s="446">
        <f>'(2) Homes for non-HH earners'!I23</f>
        <v>563.64255215446599</v>
      </c>
      <c r="J19" s="446">
        <f t="shared" si="17"/>
        <v>1808.4706564485582</v>
      </c>
      <c r="K19" s="246"/>
      <c r="L19" s="128">
        <v>104.9526829691517</v>
      </c>
      <c r="M19" s="128">
        <v>1139.8754213249404</v>
      </c>
      <c r="N19" s="128">
        <v>563.64255215446599</v>
      </c>
      <c r="O19" s="128">
        <f t="shared" si="1"/>
        <v>1808.4706564485582</v>
      </c>
      <c r="P19" s="456"/>
      <c r="Q19" s="286">
        <f t="shared" si="2"/>
        <v>125.36571428571428</v>
      </c>
      <c r="R19" s="286">
        <f t="shared" si="3"/>
        <v>157.16200000000001</v>
      </c>
      <c r="S19" s="286">
        <f t="shared" si="4"/>
        <v>179.68</v>
      </c>
      <c r="T19" s="286">
        <f t="shared" si="5"/>
        <v>162.33487768086732</v>
      </c>
      <c r="U19" s="246"/>
      <c r="V19" s="246">
        <v>13157.468066629823</v>
      </c>
      <c r="W19" s="246">
        <v>179145.10096627029</v>
      </c>
      <c r="X19" s="246">
        <v>101275.29377111445</v>
      </c>
      <c r="Y19" s="246">
        <f t="shared" si="11"/>
        <v>293577.86280401453</v>
      </c>
      <c r="Z19" s="128"/>
      <c r="AA19" s="457">
        <v>15.3767412</v>
      </c>
      <c r="AB19" s="457">
        <v>2.0645766074038225</v>
      </c>
      <c r="AC19" s="457">
        <v>55.019240916873322</v>
      </c>
      <c r="AD19" s="286">
        <v>19.13056494297782</v>
      </c>
      <c r="AE19" s="288"/>
      <c r="AF19" s="446">
        <f t="shared" si="12"/>
        <v>1613.8302442622933</v>
      </c>
      <c r="AG19" s="446">
        <f t="shared" si="13"/>
        <v>2353.3601302220482</v>
      </c>
      <c r="AH19" s="446">
        <f t="shared" si="14"/>
        <v>31011.185367987902</v>
      </c>
      <c r="AI19" s="446">
        <f t="shared" si="15"/>
        <v>34978.375742472243</v>
      </c>
      <c r="AJ19" s="458"/>
      <c r="AK19" s="286">
        <f t="shared" si="7"/>
        <v>140.74245548571429</v>
      </c>
      <c r="AL19" s="286">
        <f t="shared" si="8"/>
        <v>159.22657660740384</v>
      </c>
      <c r="AM19" s="286">
        <f t="shared" si="9"/>
        <v>234.69924091687335</v>
      </c>
      <c r="AN19" s="286">
        <f t="shared" si="10"/>
        <v>181.67628950734516</v>
      </c>
      <c r="AO19" s="459"/>
      <c r="AP19" s="460">
        <f t="shared" si="18"/>
        <v>14771.298310892116</v>
      </c>
      <c r="AQ19" s="460">
        <f t="shared" si="19"/>
        <v>181498.46109649233</v>
      </c>
      <c r="AR19" s="460">
        <f t="shared" si="20"/>
        <v>132286.47913910236</v>
      </c>
      <c r="AS19" s="460">
        <f t="shared" si="16"/>
        <v>328556.23854648683</v>
      </c>
    </row>
    <row r="20" spans="1:46">
      <c r="A20" s="1">
        <v>10</v>
      </c>
      <c r="B20" s="14"/>
      <c r="C20" s="4" t="s">
        <v>89</v>
      </c>
      <c r="D20" s="37" t="s">
        <v>107</v>
      </c>
      <c r="E20" s="1"/>
      <c r="F20" s="1"/>
      <c r="G20" s="446">
        <f>'(2) Homes for non-HH earners'!G24</f>
        <v>69.082778663239068</v>
      </c>
      <c r="H20" s="446">
        <f>'(2) Homes for non-HH earners'!H24</f>
        <v>230.56324860782343</v>
      </c>
      <c r="I20" s="446">
        <f>'(2) Homes for non-HH earners'!I24</f>
        <v>193.24887502438833</v>
      </c>
      <c r="J20" s="446">
        <f t="shared" si="17"/>
        <v>492.89490229545083</v>
      </c>
      <c r="K20" s="246"/>
      <c r="L20" s="128">
        <v>69.082778663239068</v>
      </c>
      <c r="M20" s="128">
        <v>230.56324860782343</v>
      </c>
      <c r="N20" s="128">
        <v>193.24887502438833</v>
      </c>
      <c r="O20" s="128">
        <f t="shared" si="1"/>
        <v>492.89490229545083</v>
      </c>
      <c r="P20" s="456"/>
      <c r="Q20" s="286">
        <f t="shared" si="2"/>
        <v>125.36571428571429</v>
      </c>
      <c r="R20" s="286">
        <f t="shared" si="3"/>
        <v>157.16199999999998</v>
      </c>
      <c r="S20" s="286">
        <f t="shared" si="4"/>
        <v>179.68</v>
      </c>
      <c r="T20" s="286">
        <f t="shared" si="5"/>
        <v>161.53413367281757</v>
      </c>
      <c r="U20" s="246"/>
      <c r="V20" s="246">
        <v>8660.611891958868</v>
      </c>
      <c r="W20" s="246">
        <v>36235.781277702743</v>
      </c>
      <c r="X20" s="246">
        <v>34722.957864382093</v>
      </c>
      <c r="Y20" s="246">
        <f t="shared" si="11"/>
        <v>79619.351034043706</v>
      </c>
      <c r="Z20" s="128"/>
      <c r="AA20" s="457">
        <v>9.5142015359999998</v>
      </c>
      <c r="AB20" s="457">
        <v>46.498168403113155</v>
      </c>
      <c r="AC20" s="457">
        <v>204.19281760000001</v>
      </c>
      <c r="AD20" s="286">
        <v>103.25218596765542</v>
      </c>
      <c r="AE20" s="288"/>
      <c r="AF20" s="446">
        <f t="shared" si="12"/>
        <v>657.26747886893713</v>
      </c>
      <c r="AG20" s="446">
        <f t="shared" si="13"/>
        <v>10720.768761335419</v>
      </c>
      <c r="AH20" s="446">
        <f t="shared" si="14"/>
        <v>39460.032289260125</v>
      </c>
      <c r="AI20" s="446">
        <f t="shared" si="15"/>
        <v>50838.068529464479</v>
      </c>
      <c r="AJ20" s="458"/>
      <c r="AK20" s="286">
        <f t="shared" si="7"/>
        <v>134.87991582171426</v>
      </c>
      <c r="AL20" s="286">
        <f t="shared" si="8"/>
        <v>203.66016840311315</v>
      </c>
      <c r="AM20" s="286">
        <f t="shared" si="9"/>
        <v>383.87281760000008</v>
      </c>
      <c r="AN20" s="286">
        <f t="shared" si="10"/>
        <v>264.67593589618718</v>
      </c>
      <c r="AO20" s="459"/>
      <c r="AP20" s="460">
        <f t="shared" si="18"/>
        <v>9317.8793708278045</v>
      </c>
      <c r="AQ20" s="460">
        <f t="shared" si="19"/>
        <v>46956.550039038164</v>
      </c>
      <c r="AR20" s="460">
        <f t="shared" si="20"/>
        <v>74182.990153642226</v>
      </c>
      <c r="AS20" s="460">
        <f t="shared" si="16"/>
        <v>130457.41956350819</v>
      </c>
    </row>
    <row r="21" spans="1:46">
      <c r="A21" s="1">
        <v>11</v>
      </c>
      <c r="B21" s="14" t="s">
        <v>165</v>
      </c>
      <c r="C21" s="5" t="s">
        <v>257</v>
      </c>
      <c r="D21" s="4" t="s">
        <v>326</v>
      </c>
      <c r="E21" s="1"/>
      <c r="F21" s="1"/>
      <c r="G21" s="446">
        <f>'(2) Homes for non-HH earners'!G25</f>
        <v>700.99480761994664</v>
      </c>
      <c r="H21" s="446">
        <f>'(2) Homes for non-HH earners'!H25</f>
        <v>672.59682139033032</v>
      </c>
      <c r="I21" s="446"/>
      <c r="J21" s="446">
        <f t="shared" si="17"/>
        <v>1373.5916290102768</v>
      </c>
      <c r="K21" s="246"/>
      <c r="L21" s="128">
        <v>700.99480761994664</v>
      </c>
      <c r="M21" s="128">
        <v>672.59682139033032</v>
      </c>
      <c r="N21" s="128">
        <v>0</v>
      </c>
      <c r="O21" s="128">
        <f t="shared" si="1"/>
        <v>1373.5916290102768</v>
      </c>
      <c r="P21" s="456"/>
      <c r="Q21" s="286">
        <f>V21/G21</f>
        <v>62.682857142857003</v>
      </c>
      <c r="R21" s="286">
        <f>W21/H21</f>
        <v>78.581000000000003</v>
      </c>
      <c r="S21" s="286"/>
      <c r="T21" s="286">
        <f>Y21/J21</f>
        <v>70.467587426506512</v>
      </c>
      <c r="U21" s="246"/>
      <c r="V21" s="246">
        <v>43940.357383925642</v>
      </c>
      <c r="W21" s="246">
        <v>52853.330821673546</v>
      </c>
      <c r="X21" s="246">
        <v>0</v>
      </c>
      <c r="Y21" s="246">
        <f t="shared" si="11"/>
        <v>96793.688205599188</v>
      </c>
      <c r="Z21" s="128"/>
      <c r="AA21" s="457">
        <v>0</v>
      </c>
      <c r="AB21" s="457">
        <v>0</v>
      </c>
      <c r="AC21" s="457"/>
      <c r="AD21" s="286">
        <v>0</v>
      </c>
      <c r="AE21" s="288"/>
      <c r="AF21" s="446">
        <v>0</v>
      </c>
      <c r="AG21" s="446">
        <v>0</v>
      </c>
      <c r="AH21" s="446"/>
      <c r="AI21" s="446">
        <v>0</v>
      </c>
      <c r="AJ21" s="288"/>
      <c r="AK21" s="286">
        <f>AP21/G21</f>
        <v>62.682857142857003</v>
      </c>
      <c r="AL21" s="286">
        <f>AQ21/H21</f>
        <v>78.581000000000003</v>
      </c>
      <c r="AM21" s="286"/>
      <c r="AN21" s="286">
        <f>AS21/J21</f>
        <v>70.467587426506512</v>
      </c>
      <c r="AO21" s="459"/>
      <c r="AP21" s="460">
        <f t="shared" si="18"/>
        <v>43940.357383925642</v>
      </c>
      <c r="AQ21" s="460">
        <f t="shared" si="19"/>
        <v>52853.330821673546</v>
      </c>
      <c r="AR21" s="460"/>
      <c r="AS21" s="460">
        <f t="shared" si="16"/>
        <v>96793.688205599188</v>
      </c>
    </row>
    <row r="22" spans="1:46">
      <c r="A22" s="1">
        <v>12</v>
      </c>
      <c r="B22" s="15" t="s">
        <v>360</v>
      </c>
      <c r="C22" s="5" t="s">
        <v>254</v>
      </c>
      <c r="D22" s="38" t="s">
        <v>556</v>
      </c>
      <c r="E22" s="1"/>
      <c r="F22" s="1"/>
      <c r="G22" s="446"/>
      <c r="H22" s="446">
        <f>'(2) Homes for non-HH earners'!H26</f>
        <v>986.63250000000005</v>
      </c>
      <c r="I22" s="446"/>
      <c r="J22" s="446">
        <f t="shared" si="17"/>
        <v>986.63250000000005</v>
      </c>
      <c r="K22" s="246"/>
      <c r="L22" s="128">
        <v>0</v>
      </c>
      <c r="M22" s="128">
        <v>2537.0550000000003</v>
      </c>
      <c r="N22" s="128"/>
      <c r="O22" s="128">
        <f>L22+M22</f>
        <v>2537.0550000000003</v>
      </c>
      <c r="P22" s="456"/>
      <c r="Q22" s="246"/>
      <c r="R22" s="286">
        <f>W22/H22</f>
        <v>279.77170731428572</v>
      </c>
      <c r="S22" s="286"/>
      <c r="T22" s="286">
        <f>Y22/J22</f>
        <v>279.77170731428572</v>
      </c>
      <c r="U22" s="246"/>
      <c r="V22" s="246">
        <v>0</v>
      </c>
      <c r="W22" s="246">
        <v>276031.859016762</v>
      </c>
      <c r="X22" s="246"/>
      <c r="Y22" s="246">
        <f t="shared" si="11"/>
        <v>276031.859016762</v>
      </c>
      <c r="Z22" s="128"/>
      <c r="AA22" s="457"/>
      <c r="AB22" s="457">
        <v>0</v>
      </c>
      <c r="AC22" s="457"/>
      <c r="AD22" s="286">
        <v>0</v>
      </c>
      <c r="AE22" s="288"/>
      <c r="AF22" s="446"/>
      <c r="AG22" s="446">
        <v>0</v>
      </c>
      <c r="AH22" s="446"/>
      <c r="AI22" s="446">
        <v>0</v>
      </c>
      <c r="AJ22" s="288"/>
      <c r="AK22" s="288"/>
      <c r="AL22" s="286">
        <f>AQ22/H22</f>
        <v>279.77170731428572</v>
      </c>
      <c r="AM22" s="286"/>
      <c r="AN22" s="286">
        <f>AS22/J22</f>
        <v>279.77170731428572</v>
      </c>
      <c r="AO22" s="459"/>
      <c r="AP22" s="460"/>
      <c r="AQ22" s="460">
        <f t="shared" si="19"/>
        <v>276031.859016762</v>
      </c>
      <c r="AR22" s="460"/>
      <c r="AS22" s="460">
        <f t="shared" si="16"/>
        <v>276031.859016762</v>
      </c>
    </row>
    <row r="23" spans="1:46">
      <c r="A23" s="1">
        <v>13</v>
      </c>
      <c r="B23" s="12"/>
      <c r="C23" s="5" t="s">
        <v>589</v>
      </c>
      <c r="D23" s="4"/>
      <c r="E23" s="1"/>
      <c r="F23" s="1"/>
      <c r="G23" s="446"/>
      <c r="H23" s="446"/>
      <c r="I23" s="446"/>
      <c r="J23" s="446"/>
      <c r="K23" s="246"/>
      <c r="L23" s="246"/>
      <c r="M23" s="128"/>
      <c r="N23" s="246"/>
      <c r="O23" s="246"/>
      <c r="P23" s="456"/>
      <c r="Q23" s="246"/>
      <c r="R23" s="286"/>
      <c r="S23" s="286"/>
      <c r="T23" s="286"/>
      <c r="U23" s="246"/>
      <c r="V23" s="246"/>
      <c r="W23" s="246"/>
      <c r="X23" s="246"/>
      <c r="Y23" s="246"/>
      <c r="Z23" s="128"/>
      <c r="AA23" s="457"/>
      <c r="AB23" s="457"/>
      <c r="AC23" s="461"/>
      <c r="AD23" s="462"/>
      <c r="AE23" s="288"/>
      <c r="AF23" s="463"/>
      <c r="AG23" s="463"/>
      <c r="AH23" s="463"/>
      <c r="AI23" s="463"/>
      <c r="AJ23" s="462"/>
      <c r="AK23" s="462"/>
      <c r="AL23" s="462"/>
      <c r="AM23" s="462"/>
      <c r="AN23" s="462"/>
      <c r="AO23" s="459"/>
      <c r="AP23" s="464"/>
      <c r="AQ23" s="464"/>
      <c r="AR23" s="464"/>
      <c r="AS23" s="460"/>
    </row>
    <row r="24" spans="1:46">
      <c r="A24" s="1">
        <v>27</v>
      </c>
      <c r="B24" s="16" t="s">
        <v>373</v>
      </c>
      <c r="C24" s="4" t="s">
        <v>166</v>
      </c>
      <c r="D24" s="38" t="s">
        <v>671</v>
      </c>
      <c r="E24" s="1"/>
      <c r="F24" s="1"/>
      <c r="G24" s="446">
        <f>SUM(G25:G41)</f>
        <v>127732.99477882113</v>
      </c>
      <c r="H24" s="446">
        <f>SUM(H25:H41)</f>
        <v>122891.83270440683</v>
      </c>
      <c r="I24" s="446">
        <f>SUM(I25:I41)</f>
        <v>236525.54562868335</v>
      </c>
      <c r="J24" s="446">
        <f>G24+H24+I24</f>
        <v>487150.37311191129</v>
      </c>
      <c r="K24" s="246"/>
      <c r="L24" s="246">
        <f>SUM(L25:L41)</f>
        <v>184792.73827464582</v>
      </c>
      <c r="M24" s="246">
        <f>SUM(M25:M41)</f>
        <v>161859.50909360158</v>
      </c>
      <c r="N24" s="246">
        <f>SUM(N25:N41)</f>
        <v>429690.74483502645</v>
      </c>
      <c r="O24" s="128">
        <f>L24+M24+N24</f>
        <v>776342.99220327381</v>
      </c>
      <c r="P24" s="456"/>
      <c r="Q24" s="286">
        <f t="shared" ref="Q24:Q28" si="21">V24/G24</f>
        <v>239.43327291837383</v>
      </c>
      <c r="R24" s="286">
        <f t="shared" ref="R24:R28" si="22">W24/H24</f>
        <v>200.47662334609225</v>
      </c>
      <c r="S24" s="286">
        <f t="shared" ref="S24:S28" si="23">X24/I24</f>
        <v>299.77938209231365</v>
      </c>
      <c r="T24" s="286">
        <f t="shared" ref="T24:T28" si="24">Y24/J24</f>
        <v>258.90558138932312</v>
      </c>
      <c r="U24" s="246"/>
      <c r="V24" s="246">
        <f>SUM(V25:V41)</f>
        <v>30583528.999558698</v>
      </c>
      <c r="W24" s="246">
        <f>SUM(W25:W41)</f>
        <v>24636939.657392349</v>
      </c>
      <c r="X24" s="246">
        <f>SUM(X25:X41)</f>
        <v>70905481.917614028</v>
      </c>
      <c r="Y24" s="246">
        <f t="shared" si="11"/>
        <v>126125950.57456508</v>
      </c>
      <c r="Z24" s="128"/>
      <c r="AA24" s="457">
        <f>AF24/G24</f>
        <v>37.1486963243959</v>
      </c>
      <c r="AB24" s="457">
        <f t="shared" ref="AB24" si="25">AG24/H24</f>
        <v>60.221047888697221</v>
      </c>
      <c r="AC24" s="457">
        <f t="shared" ref="AC24" si="26">AH24/I24</f>
        <v>91.644238445273729</v>
      </c>
      <c r="AD24" s="457">
        <f t="shared" ref="AD24" si="27">AI24/J24</f>
        <v>69.4282392970469</v>
      </c>
      <c r="AE24" s="288"/>
      <c r="AF24" s="446">
        <f>SUM(AF25:AF38)</f>
        <v>4745114.2336440729</v>
      </c>
      <c r="AG24" s="446">
        <f t="shared" ref="AG24:AI24" si="28">SUM(AG25:AG38)</f>
        <v>7400674.9424218507</v>
      </c>
      <c r="AH24" s="446">
        <f t="shared" si="28"/>
        <v>21676203.501993529</v>
      </c>
      <c r="AI24" s="446">
        <f t="shared" si="28"/>
        <v>33821992.678059459</v>
      </c>
      <c r="AJ24" s="458"/>
      <c r="AK24" s="286">
        <f t="shared" ref="AK24:AK28" si="29">AP24/G24</f>
        <v>276.58196924276967</v>
      </c>
      <c r="AL24" s="286">
        <f t="shared" ref="AL24:AL28" si="30">AQ24/H24</f>
        <v>260.69767123478948</v>
      </c>
      <c r="AM24" s="286">
        <f t="shared" ref="AM24:AM28" si="31">AR24/I24</f>
        <v>391.4236205375874</v>
      </c>
      <c r="AN24" s="286">
        <f t="shared" ref="AN24:AN28" si="32">AS24/J24</f>
        <v>328.33382068636996</v>
      </c>
      <c r="AO24" s="459"/>
      <c r="AP24" s="460">
        <f>SUM(AP25:AP41)</f>
        <v>35328643.233202763</v>
      </c>
      <c r="AQ24" s="460">
        <f>SUM(AQ25:AQ41)</f>
        <v>32037614.599814199</v>
      </c>
      <c r="AR24" s="460">
        <f>SUM(AR25:AR41)</f>
        <v>92581685.419607565</v>
      </c>
      <c r="AS24" s="460">
        <f t="shared" si="16"/>
        <v>159947943.25262451</v>
      </c>
    </row>
    <row r="25" spans="1:46">
      <c r="A25" s="1">
        <v>28</v>
      </c>
      <c r="B25" s="17" t="s">
        <v>116</v>
      </c>
      <c r="C25" s="5" t="s">
        <v>361</v>
      </c>
      <c r="D25" s="2" t="s">
        <v>205</v>
      </c>
      <c r="E25" s="1"/>
      <c r="F25" s="1"/>
      <c r="G25" s="446">
        <v>536.22582205709273</v>
      </c>
      <c r="H25" s="446">
        <f>'(2) Homes for non-HH earners'!H30</f>
        <v>1352.9526393621529</v>
      </c>
      <c r="I25" s="465">
        <v>6823.2121432489412</v>
      </c>
      <c r="J25" s="446">
        <f t="shared" ref="J25:J41" si="33">G25+H25+I25</f>
        <v>8712.3906046681877</v>
      </c>
      <c r="K25" s="246"/>
      <c r="L25" s="246">
        <f>'(2) Homes for non-HH earners'!BN30</f>
        <v>947.87137507989212</v>
      </c>
      <c r="M25" s="246">
        <f>'(2) Homes for non-HH earners'!BO30</f>
        <v>1878.4235524619555</v>
      </c>
      <c r="N25" s="246">
        <f>'(2) Homes for non-HH earners'!BP30</f>
        <v>9827.6858739868894</v>
      </c>
      <c r="O25" s="128">
        <f t="shared" ref="O25:O41" si="34">L25+M25+N25</f>
        <v>12653.980801528738</v>
      </c>
      <c r="P25" s="456"/>
      <c r="Q25" s="286">
        <f t="shared" si="21"/>
        <v>1199.650705175477</v>
      </c>
      <c r="R25" s="286">
        <f t="shared" si="22"/>
        <v>1443.1139810639543</v>
      </c>
      <c r="S25" s="286">
        <f t="shared" si="23"/>
        <v>1770.9684235692926</v>
      </c>
      <c r="T25" s="286">
        <f t="shared" si="24"/>
        <v>1684.8925253980265</v>
      </c>
      <c r="U25" s="246"/>
      <c r="V25" s="246">
        <f>'(2) Homes for non-HH earners'!CC30</f>
        <v>643283.6855640912</v>
      </c>
      <c r="W25" s="246">
        <f>'(2) Homes for non-HH earners'!CD30</f>
        <v>1952464.8695809008</v>
      </c>
      <c r="X25" s="246">
        <f>'(2) Homes for non-HH earners'!CE30</f>
        <v>12083693.253008431</v>
      </c>
      <c r="Y25" s="246">
        <f t="shared" si="11"/>
        <v>14679441.808153423</v>
      </c>
      <c r="Z25" s="128"/>
      <c r="AA25" s="457">
        <v>147.89824143553011</v>
      </c>
      <c r="AB25" s="457">
        <v>152.73506955191178</v>
      </c>
      <c r="AC25" s="457">
        <v>545.28040882324308</v>
      </c>
      <c r="AD25" s="286">
        <v>681.01271038105563</v>
      </c>
      <c r="AE25" s="288"/>
      <c r="AF25" s="446">
        <f t="shared" ref="AF25:AH32" si="35">G25*AA25</f>
        <v>79306.856094565504</v>
      </c>
      <c r="AG25" s="446">
        <f t="shared" si="35"/>
        <v>206643.31547342104</v>
      </c>
      <c r="AH25" s="446">
        <f t="shared" si="35"/>
        <v>3720563.9069584995</v>
      </c>
      <c r="AI25" s="446">
        <f t="shared" ref="AI25:AI37" si="36">AF25+AG25+AH25</f>
        <v>4006514.0785264862</v>
      </c>
      <c r="AJ25" s="458"/>
      <c r="AK25" s="286">
        <f t="shared" si="29"/>
        <v>1347.5489466110071</v>
      </c>
      <c r="AL25" s="286">
        <f t="shared" si="30"/>
        <v>1595.849050615866</v>
      </c>
      <c r="AM25" s="286">
        <f t="shared" si="31"/>
        <v>2316.2488323925359</v>
      </c>
      <c r="AN25" s="286">
        <f t="shared" si="32"/>
        <v>2144.7564433885441</v>
      </c>
      <c r="AO25" s="459"/>
      <c r="AP25" s="460">
        <f t="shared" si="18"/>
        <v>722590.54165865667</v>
      </c>
      <c r="AQ25" s="460">
        <f t="shared" si="19"/>
        <v>2159108.1850543218</v>
      </c>
      <c r="AR25" s="460">
        <f t="shared" si="20"/>
        <v>15804257.159966931</v>
      </c>
      <c r="AS25" s="460">
        <f t="shared" si="16"/>
        <v>18685955.88667991</v>
      </c>
    </row>
    <row r="26" spans="1:46">
      <c r="A26" s="1">
        <v>29</v>
      </c>
      <c r="B26" s="17"/>
      <c r="C26" s="5" t="s">
        <v>362</v>
      </c>
      <c r="D26" s="2" t="s">
        <v>372</v>
      </c>
      <c r="E26" s="1"/>
      <c r="F26" s="1"/>
      <c r="G26" s="446">
        <v>2560.0967590580822</v>
      </c>
      <c r="H26" s="446">
        <f>'(2) Homes for non-HH earners'!H31</f>
        <v>6350.08945843726</v>
      </c>
      <c r="I26" s="465">
        <v>3133.7904367373903</v>
      </c>
      <c r="J26" s="446">
        <f t="shared" si="33"/>
        <v>12043.976654232732</v>
      </c>
      <c r="K26" s="246"/>
      <c r="L26" s="246">
        <f>'(2) Homes for non-HH earners'!BN31</f>
        <v>4525.4113761936505</v>
      </c>
      <c r="M26" s="246">
        <f>'(2) Homes for non-HH earners'!BO31</f>
        <v>8816.3896147853629</v>
      </c>
      <c r="N26" s="246">
        <f>'(2) Homes for non-HH earners'!BP31</f>
        <v>4513.6963882372447</v>
      </c>
      <c r="O26" s="128">
        <f t="shared" si="34"/>
        <v>17855.497379216256</v>
      </c>
      <c r="P26" s="456"/>
      <c r="Q26" s="286">
        <f t="shared" si="21"/>
        <v>391.54184256500628</v>
      </c>
      <c r="R26" s="286">
        <f t="shared" si="22"/>
        <v>252.30897460645593</v>
      </c>
      <c r="S26" s="286">
        <f t="shared" si="23"/>
        <v>419.30514454340482</v>
      </c>
      <c r="T26" s="286">
        <f t="shared" si="24"/>
        <v>325.35632761888803</v>
      </c>
      <c r="U26" s="246"/>
      <c r="V26" s="246">
        <f>'(2) Homes for non-HH earners'!CC31</f>
        <v>1002385.0021863024</v>
      </c>
      <c r="W26" s="246">
        <f>'(2) Homes for non-HH earners'!CD31</f>
        <v>1602184.5599175701</v>
      </c>
      <c r="X26" s="246">
        <f>'(2) Homes for non-HH earners'!CE31</f>
        <v>1314014.4520449112</v>
      </c>
      <c r="Y26" s="246">
        <f t="shared" si="11"/>
        <v>3918584.0141487839</v>
      </c>
      <c r="Z26" s="128"/>
      <c r="AA26" s="457">
        <v>132.64103205082475</v>
      </c>
      <c r="AB26" s="457">
        <v>175.76116185987379</v>
      </c>
      <c r="AC26" s="457">
        <v>88.326184172558484</v>
      </c>
      <c r="AD26" s="286">
        <v>160.15220341437765</v>
      </c>
      <c r="AE26" s="288"/>
      <c r="AF26" s="446">
        <f t="shared" si="35"/>
        <v>339573.87627143564</v>
      </c>
      <c r="AG26" s="446">
        <f t="shared" si="35"/>
        <v>1116099.1011290697</v>
      </c>
      <c r="AH26" s="446">
        <f t="shared" si="35"/>
        <v>276795.75127346924</v>
      </c>
      <c r="AI26" s="446">
        <f t="shared" si="36"/>
        <v>1732468.7286739748</v>
      </c>
      <c r="AJ26" s="458"/>
      <c r="AK26" s="286">
        <f t="shared" si="29"/>
        <v>524.182874615831</v>
      </c>
      <c r="AL26" s="286">
        <f t="shared" si="30"/>
        <v>428.07013646632976</v>
      </c>
      <c r="AM26" s="286">
        <f t="shared" si="31"/>
        <v>507.63132871596332</v>
      </c>
      <c r="AN26" s="286">
        <f t="shared" si="32"/>
        <v>469.20156897155346</v>
      </c>
      <c r="AO26" s="459"/>
      <c r="AP26" s="460">
        <f t="shared" si="18"/>
        <v>1341958.8784577381</v>
      </c>
      <c r="AQ26" s="460">
        <f t="shared" si="19"/>
        <v>2718283.66104664</v>
      </c>
      <c r="AR26" s="460">
        <f t="shared" si="20"/>
        <v>1590810.2033183805</v>
      </c>
      <c r="AS26" s="460">
        <f t="shared" si="16"/>
        <v>5651052.7428227589</v>
      </c>
    </row>
    <row r="27" spans="1:46">
      <c r="A27" s="1">
        <v>30</v>
      </c>
      <c r="B27" s="17"/>
      <c r="C27" s="5" t="s">
        <v>174</v>
      </c>
      <c r="D27" s="38" t="s">
        <v>33</v>
      </c>
      <c r="E27" s="1"/>
      <c r="F27" s="1"/>
      <c r="G27" s="446">
        <v>6524</v>
      </c>
      <c r="H27" s="446">
        <f>'(2) Homes for non-HH earners'!H32</f>
        <v>17516</v>
      </c>
      <c r="I27" s="465">
        <v>4819</v>
      </c>
      <c r="J27" s="446">
        <f t="shared" si="33"/>
        <v>28859</v>
      </c>
      <c r="K27" s="246"/>
      <c r="L27" s="246">
        <f>'(2) Homes for non-HH earners'!BN32</f>
        <v>11532.292173655907</v>
      </c>
      <c r="M27" s="246">
        <f>'(2) Homes for non-HH earners'!BO32</f>
        <v>24319.008653869379</v>
      </c>
      <c r="N27" s="246">
        <f>'(2) Homes for non-HH earners'!BP32</f>
        <v>6940.9564340750603</v>
      </c>
      <c r="O27" s="128">
        <f t="shared" si="34"/>
        <v>42792.257261600345</v>
      </c>
      <c r="P27" s="456"/>
      <c r="Q27" s="286">
        <f t="shared" si="21"/>
        <v>336.96487184214345</v>
      </c>
      <c r="R27" s="286">
        <f t="shared" si="22"/>
        <v>206.46683820681147</v>
      </c>
      <c r="S27" s="286">
        <f t="shared" si="23"/>
        <v>282.63217356929243</v>
      </c>
      <c r="T27" s="286">
        <f t="shared" si="24"/>
        <v>248.68624714505265</v>
      </c>
      <c r="U27" s="246"/>
      <c r="V27" s="246">
        <f>'(2) Homes for non-HH earners'!CC32</f>
        <v>2198358.8238981441</v>
      </c>
      <c r="W27" s="246">
        <f>'(2) Homes for non-HH earners'!CD32</f>
        <v>3616473.1380305099</v>
      </c>
      <c r="X27" s="246">
        <f>'(2) Homes for non-HH earners'!CE32</f>
        <v>1362004.4444304202</v>
      </c>
      <c r="Y27" s="246">
        <f t="shared" si="11"/>
        <v>7176836.4063590746</v>
      </c>
      <c r="Z27" s="128"/>
      <c r="AA27" s="457">
        <v>39.794560065989508</v>
      </c>
      <c r="AB27" s="457">
        <v>50.560093280826621</v>
      </c>
      <c r="AC27" s="457">
        <v>38.896449405717114</v>
      </c>
      <c r="AD27" s="286">
        <v>59.404992287614519</v>
      </c>
      <c r="AE27" s="288"/>
      <c r="AF27" s="446">
        <f t="shared" si="35"/>
        <v>259619.70987051554</v>
      </c>
      <c r="AG27" s="446">
        <f t="shared" si="35"/>
        <v>885610.59390695905</v>
      </c>
      <c r="AH27" s="446">
        <f t="shared" si="35"/>
        <v>187441.98968615077</v>
      </c>
      <c r="AI27" s="446">
        <f t="shared" si="36"/>
        <v>1332672.2934636255</v>
      </c>
      <c r="AJ27" s="458"/>
      <c r="AK27" s="286">
        <f t="shared" si="29"/>
        <v>376.75943190813297</v>
      </c>
      <c r="AL27" s="286">
        <f t="shared" si="30"/>
        <v>257.02693148763808</v>
      </c>
      <c r="AM27" s="286">
        <f t="shared" si="31"/>
        <v>321.52862297500957</v>
      </c>
      <c r="AN27" s="286">
        <f t="shared" si="32"/>
        <v>294.86498838569247</v>
      </c>
      <c r="AO27" s="459"/>
      <c r="AP27" s="460">
        <f t="shared" si="18"/>
        <v>2457978.5337686595</v>
      </c>
      <c r="AQ27" s="460">
        <f t="shared" si="19"/>
        <v>4502083.731937469</v>
      </c>
      <c r="AR27" s="460">
        <f t="shared" si="20"/>
        <v>1549446.434116571</v>
      </c>
      <c r="AS27" s="460">
        <f t="shared" si="16"/>
        <v>8509508.6998226997</v>
      </c>
    </row>
    <row r="28" spans="1:46">
      <c r="A28" s="1">
        <v>31</v>
      </c>
      <c r="B28" s="17"/>
      <c r="C28" s="5" t="s">
        <v>163</v>
      </c>
      <c r="D28" s="4" t="s">
        <v>483</v>
      </c>
      <c r="E28" s="1"/>
      <c r="F28" s="1"/>
      <c r="G28" s="446">
        <v>3640.4232384296024</v>
      </c>
      <c r="H28" s="446">
        <f>'(2) Homes for non-HH earners'!H33</f>
        <v>10381.402867192013</v>
      </c>
      <c r="I28" s="465">
        <v>2953.5588889558767</v>
      </c>
      <c r="J28" s="446">
        <f t="shared" si="33"/>
        <v>16975.384994577493</v>
      </c>
      <c r="K28" s="246"/>
      <c r="L28" s="246">
        <f>'(2) Homes for non-HH earners'!BN33</f>
        <v>6435.074252197548</v>
      </c>
      <c r="M28" s="246">
        <f>'(2) Homes for non-HH earners'!BO33</f>
        <v>14413.417798957922</v>
      </c>
      <c r="N28" s="246">
        <f>'(2) Homes for non-HH earners'!BP33</f>
        <v>4254.1032524834773</v>
      </c>
      <c r="O28" s="128">
        <f t="shared" si="34"/>
        <v>25102.595303638947</v>
      </c>
      <c r="P28" s="456"/>
      <c r="Q28" s="286">
        <f t="shared" si="21"/>
        <v>388.37487184214348</v>
      </c>
      <c r="R28" s="286">
        <f t="shared" si="22"/>
        <v>272.60683820681152</v>
      </c>
      <c r="S28" s="286">
        <f t="shared" si="23"/>
        <v>344.71217356929247</v>
      </c>
      <c r="T28" s="286">
        <f t="shared" si="24"/>
        <v>309.97930394570437</v>
      </c>
      <c r="U28" s="246"/>
      <c r="V28" s="246">
        <f>'(2) Homes for non-HH earners'!CC33</f>
        <v>1413848.9086762578</v>
      </c>
      <c r="W28" s="246">
        <f>'(2) Homes for non-HH earners'!CD33</f>
        <v>2830041.4117763424</v>
      </c>
      <c r="X28" s="246">
        <f>'(2) Homes for non-HH earners'!CE33</f>
        <v>1018127.7043768847</v>
      </c>
      <c r="Y28" s="246">
        <f t="shared" si="11"/>
        <v>5262018.0248294855</v>
      </c>
      <c r="Z28" s="128"/>
      <c r="AA28" s="457">
        <v>39.794560065989508</v>
      </c>
      <c r="AB28" s="457">
        <v>50.560093280826621</v>
      </c>
      <c r="AC28" s="457">
        <v>38.896449405717114</v>
      </c>
      <c r="AD28" s="286">
        <v>59.456608171915597</v>
      </c>
      <c r="AE28" s="288"/>
      <c r="AF28" s="446">
        <f t="shared" si="35"/>
        <v>144869.04122731087</v>
      </c>
      <c r="AG28" s="446">
        <f t="shared" si="35"/>
        <v>524884.69735106907</v>
      </c>
      <c r="AH28" s="446">
        <f t="shared" si="35"/>
        <v>114882.9538910783</v>
      </c>
      <c r="AI28" s="446">
        <f t="shared" si="36"/>
        <v>784636.69246945833</v>
      </c>
      <c r="AJ28" s="458"/>
      <c r="AK28" s="286">
        <f t="shared" si="29"/>
        <v>428.16943190813299</v>
      </c>
      <c r="AL28" s="286">
        <f t="shared" si="30"/>
        <v>323.16693148763818</v>
      </c>
      <c r="AM28" s="286">
        <f t="shared" si="31"/>
        <v>383.60862297500955</v>
      </c>
      <c r="AN28" s="286">
        <f t="shared" si="32"/>
        <v>356.20133029268243</v>
      </c>
      <c r="AO28" s="459"/>
      <c r="AP28" s="460">
        <f t="shared" si="18"/>
        <v>1558717.9499035687</v>
      </c>
      <c r="AQ28" s="460">
        <f t="shared" si="19"/>
        <v>3354926.1091274116</v>
      </c>
      <c r="AR28" s="460">
        <f t="shared" si="20"/>
        <v>1133010.658267963</v>
      </c>
      <c r="AS28" s="460">
        <f t="shared" si="16"/>
        <v>6046654.7172989426</v>
      </c>
    </row>
    <row r="29" spans="1:46">
      <c r="A29" s="1">
        <v>32</v>
      </c>
      <c r="B29" s="17"/>
      <c r="C29" s="5" t="s">
        <v>240</v>
      </c>
      <c r="D29" s="38" t="s">
        <v>510</v>
      </c>
      <c r="E29" s="1"/>
      <c r="F29" s="1"/>
      <c r="G29" s="446">
        <v>1132.3913113228157</v>
      </c>
      <c r="H29" s="446">
        <f>0.02*21307.43275</f>
        <v>426.14865500000002</v>
      </c>
      <c r="I29" s="446">
        <f>0.02*101257.507844819</f>
        <v>2025.1501568963802</v>
      </c>
      <c r="J29" s="446">
        <f t="shared" si="33"/>
        <v>3583.6901232191958</v>
      </c>
      <c r="K29" s="246"/>
      <c r="L29" s="246">
        <f>'(2) Homes for non-HH earners'!BN34</f>
        <v>100084.82109966323</v>
      </c>
      <c r="M29" s="246">
        <f>'(2) Homes for non-HH earners'!BO34</f>
        <v>44474.734919777569</v>
      </c>
      <c r="N29" s="246">
        <f>'(2) Homes for non-HH earners'!BP34</f>
        <v>145844.35579454317</v>
      </c>
      <c r="O29" s="128">
        <f t="shared" si="34"/>
        <v>290403.91181398393</v>
      </c>
      <c r="P29" s="456" t="s">
        <v>613</v>
      </c>
      <c r="Q29" s="286"/>
      <c r="R29" s="286"/>
      <c r="S29" s="286"/>
      <c r="T29" s="286"/>
      <c r="U29" s="128"/>
      <c r="V29" s="246">
        <f>'(2) Homes for non-HH earners'!CC34</f>
        <v>20181414.074587494</v>
      </c>
      <c r="W29" s="246">
        <f>'(2) Homes for non-HH earners'!CD34</f>
        <v>8547972.8685474694</v>
      </c>
      <c r="X29" s="246">
        <f>'(2) Homes for non-HH earners'!CE34</f>
        <v>40898127.508732148</v>
      </c>
      <c r="Y29" s="128">
        <f t="shared" si="11"/>
        <v>69627514.451867104</v>
      </c>
      <c r="Z29" s="456" t="s">
        <v>613</v>
      </c>
      <c r="AA29" s="457">
        <v>312.37850720257956</v>
      </c>
      <c r="AB29" s="457">
        <v>578.61366737276012</v>
      </c>
      <c r="AC29" s="457">
        <v>1102.1634569826188</v>
      </c>
      <c r="AD29" s="286">
        <v>2040.1991435837683</v>
      </c>
      <c r="AE29" s="288"/>
      <c r="AF29" s="446">
        <f t="shared" si="35"/>
        <v>353734.70740019268</v>
      </c>
      <c r="AG29" s="446">
        <f t="shared" si="35"/>
        <v>246575.43611551911</v>
      </c>
      <c r="AH29" s="446">
        <f t="shared" si="35"/>
        <v>2232046.497833807</v>
      </c>
      <c r="AI29" s="446">
        <f t="shared" si="36"/>
        <v>2832356.6413495187</v>
      </c>
      <c r="AJ29" s="458"/>
      <c r="AK29" s="286">
        <f>AP29/SUM(G29:G33)</f>
        <v>416.83512942504285</v>
      </c>
      <c r="AL29" s="286">
        <f>AQ29/SUM(H29:H33)</f>
        <v>387.84189992047419</v>
      </c>
      <c r="AM29" s="286">
        <f>AR29/SUM(I29:I33)</f>
        <v>564.11768780692751</v>
      </c>
      <c r="AN29" s="286">
        <f>AS29/SUM(J29:J33)</f>
        <v>490.47360432234558</v>
      </c>
      <c r="AO29" s="459"/>
      <c r="AP29" s="460">
        <f>V29+SUM(AF29:AF33)</f>
        <v>23601023.940751992</v>
      </c>
      <c r="AQ29" s="460">
        <f>W29+SUM(AG29:AG33)</f>
        <v>12423877.574529361</v>
      </c>
      <c r="AR29" s="460">
        <f>X29+SUM(AH29:AH33)</f>
        <v>57121151.198511124</v>
      </c>
      <c r="AS29" s="460">
        <f>Y29+SUM(AI29:AI33)</f>
        <v>93146052.713792473</v>
      </c>
      <c r="AT29" s="346" t="s">
        <v>613</v>
      </c>
    </row>
    <row r="30" spans="1:46">
      <c r="A30" s="1">
        <v>33</v>
      </c>
      <c r="B30" s="17"/>
      <c r="C30" s="5" t="s">
        <v>488</v>
      </c>
      <c r="D30" s="38" t="s">
        <v>648</v>
      </c>
      <c r="E30" s="1"/>
      <c r="F30" s="1"/>
      <c r="G30" s="446">
        <v>10191.521801905341</v>
      </c>
      <c r="H30" s="446">
        <f>0.18*21307.43275</f>
        <v>3835.3378949999997</v>
      </c>
      <c r="I30" s="446">
        <f>0.18*101257.507844819</f>
        <v>18226.351412067419</v>
      </c>
      <c r="J30" s="446">
        <f t="shared" si="33"/>
        <v>32253.211108972759</v>
      </c>
      <c r="K30" s="246"/>
      <c r="L30" s="246"/>
      <c r="M30" s="246"/>
      <c r="N30" s="246"/>
      <c r="O30" s="246"/>
      <c r="P30" s="456"/>
      <c r="Q30" s="456"/>
      <c r="R30" s="456"/>
      <c r="S30" s="456"/>
      <c r="T30" s="456"/>
      <c r="U30" s="128"/>
      <c r="V30" s="128"/>
      <c r="W30" s="128"/>
      <c r="X30" s="128"/>
      <c r="Y30" s="128"/>
      <c r="Z30" s="128"/>
      <c r="AA30" s="457">
        <v>129.82143694461701</v>
      </c>
      <c r="AB30" s="457">
        <v>208.83483357927449</v>
      </c>
      <c r="AC30" s="457">
        <v>311.08856473974612</v>
      </c>
      <c r="AD30" s="286">
        <v>486.5005631807739</v>
      </c>
      <c r="AE30" s="288"/>
      <c r="AF30" s="446">
        <f t="shared" si="35"/>
        <v>1323078.0049757436</v>
      </c>
      <c r="AG30" s="446">
        <f t="shared" si="35"/>
        <v>800952.15102260991</v>
      </c>
      <c r="AH30" s="446">
        <f t="shared" si="35"/>
        <v>5670009.5012222985</v>
      </c>
      <c r="AI30" s="446">
        <f t="shared" si="36"/>
        <v>7794039.6572206523</v>
      </c>
      <c r="AJ30" s="458"/>
      <c r="AK30" s="458"/>
      <c r="AL30" s="458"/>
      <c r="AM30" s="458"/>
      <c r="AN30" s="458"/>
      <c r="AO30" s="459"/>
      <c r="AP30" s="459"/>
      <c r="AQ30" s="459"/>
      <c r="AR30" s="459"/>
      <c r="AS30" s="459"/>
    </row>
    <row r="31" spans="1:46">
      <c r="A31" s="1">
        <v>34</v>
      </c>
      <c r="B31" s="17"/>
      <c r="C31" s="5" t="s">
        <v>489</v>
      </c>
      <c r="D31" s="38" t="s">
        <v>630</v>
      </c>
      <c r="E31" s="1"/>
      <c r="F31" s="1"/>
      <c r="G31" s="446">
        <v>22647.826226456313</v>
      </c>
      <c r="H31" s="446">
        <f>0.4*21307.43275</f>
        <v>8522.9731000000011</v>
      </c>
      <c r="I31" s="446">
        <f>0.4*101257.507844819</f>
        <v>40503.003137927604</v>
      </c>
      <c r="J31" s="446">
        <f t="shared" si="33"/>
        <v>71673.802464383916</v>
      </c>
      <c r="K31" s="246"/>
      <c r="L31" s="246"/>
      <c r="M31" s="246"/>
      <c r="N31" s="246"/>
      <c r="O31" s="246"/>
      <c r="P31" s="456"/>
      <c r="Q31" s="456"/>
      <c r="R31" s="456"/>
      <c r="S31" s="456"/>
      <c r="T31" s="456"/>
      <c r="U31" s="128"/>
      <c r="V31" s="128"/>
      <c r="W31" s="128"/>
      <c r="X31" s="128"/>
      <c r="Y31" s="128"/>
      <c r="Z31" s="128"/>
      <c r="AA31" s="457">
        <v>62.854405086563681</v>
      </c>
      <c r="AB31" s="457">
        <v>96.410465740107426</v>
      </c>
      <c r="AC31" s="457">
        <v>182.48038697538311</v>
      </c>
      <c r="AD31" s="286">
        <v>125.12321413504705</v>
      </c>
      <c r="AE31" s="288"/>
      <c r="AF31" s="446">
        <f t="shared" si="35"/>
        <v>1423515.6439677859</v>
      </c>
      <c r="AG31" s="446">
        <f t="shared" si="35"/>
        <v>821703.80606140732</v>
      </c>
      <c r="AH31" s="446">
        <f t="shared" si="35"/>
        <v>7391003.6862741858</v>
      </c>
      <c r="AI31" s="446">
        <f t="shared" si="36"/>
        <v>9636223.1363033801</v>
      </c>
      <c r="AJ31" s="458"/>
      <c r="AK31" s="458"/>
      <c r="AL31" s="458"/>
      <c r="AM31" s="458"/>
      <c r="AN31" s="458"/>
      <c r="AO31" s="459"/>
      <c r="AP31" s="459"/>
      <c r="AQ31" s="459"/>
      <c r="AR31" s="459"/>
      <c r="AS31" s="459"/>
    </row>
    <row r="32" spans="1:46">
      <c r="A32" s="1">
        <v>35</v>
      </c>
      <c r="B32" s="17"/>
      <c r="C32" s="5" t="s">
        <v>481</v>
      </c>
      <c r="D32" s="38" t="s">
        <v>660</v>
      </c>
      <c r="E32" s="1"/>
      <c r="F32" s="1"/>
      <c r="G32" s="446">
        <v>22647.826226456313</v>
      </c>
      <c r="H32" s="446">
        <f>0.4*21307.43275</f>
        <v>8522.9731000000011</v>
      </c>
      <c r="I32" s="446">
        <f>0.4*101257.507844819</f>
        <v>40503.003137927604</v>
      </c>
      <c r="J32" s="446">
        <f t="shared" si="33"/>
        <v>71673.802464383916</v>
      </c>
      <c r="K32" s="246"/>
      <c r="L32" s="246"/>
      <c r="M32" s="246"/>
      <c r="N32" s="246"/>
      <c r="O32" s="246"/>
      <c r="P32" s="456"/>
      <c r="Q32" s="456"/>
      <c r="R32" s="456"/>
      <c r="S32" s="456"/>
      <c r="T32" s="456"/>
      <c r="U32" s="128"/>
      <c r="V32" s="128"/>
      <c r="W32" s="128"/>
      <c r="X32" s="128"/>
      <c r="Y32" s="128"/>
      <c r="Z32" s="128"/>
      <c r="AA32" s="457">
        <v>14.097666885478191</v>
      </c>
      <c r="AB32" s="457">
        <v>43.327894650701062</v>
      </c>
      <c r="AC32" s="457">
        <v>22.960371636686205</v>
      </c>
      <c r="AD32" s="286">
        <v>38.886670926575441</v>
      </c>
      <c r="AE32" s="288"/>
      <c r="AF32" s="446">
        <f t="shared" si="35"/>
        <v>319281.50982077763</v>
      </c>
      <c r="AG32" s="446">
        <f t="shared" si="35"/>
        <v>369282.48058755911</v>
      </c>
      <c r="AH32" s="446">
        <f t="shared" si="35"/>
        <v>929964.00444868533</v>
      </c>
      <c r="AI32" s="446">
        <f t="shared" si="36"/>
        <v>1618527.9948570221</v>
      </c>
      <c r="AJ32" s="458"/>
      <c r="AK32" s="458"/>
      <c r="AL32" s="458"/>
      <c r="AM32" s="458"/>
      <c r="AN32" s="458"/>
      <c r="AO32" s="459"/>
      <c r="AP32" s="459"/>
      <c r="AQ32" s="459"/>
      <c r="AR32" s="459"/>
      <c r="AS32" s="459"/>
    </row>
    <row r="33" spans="1:48">
      <c r="A33" s="1">
        <v>36</v>
      </c>
      <c r="B33" s="17"/>
      <c r="C33" s="5" t="s">
        <v>432</v>
      </c>
      <c r="D33" s="38" t="s">
        <v>681</v>
      </c>
      <c r="E33" s="1"/>
      <c r="F33" s="1"/>
      <c r="G33" s="446"/>
      <c r="H33" s="446">
        <v>10725.923050589983</v>
      </c>
      <c r="I33" s="446"/>
      <c r="J33" s="446">
        <f t="shared" si="33"/>
        <v>10725.923050589983</v>
      </c>
      <c r="K33" s="246"/>
      <c r="L33" s="246"/>
      <c r="M33" s="246"/>
      <c r="N33" s="246"/>
      <c r="O33" s="246"/>
      <c r="P33" s="456"/>
      <c r="Q33" s="456"/>
      <c r="R33" s="456"/>
      <c r="S33" s="456"/>
      <c r="T33" s="456"/>
      <c r="U33" s="128"/>
      <c r="V33" s="128"/>
      <c r="W33" s="128"/>
      <c r="X33" s="128"/>
      <c r="Y33" s="128"/>
      <c r="Z33" s="128"/>
      <c r="AA33" s="457"/>
      <c r="AB33" s="457">
        <v>152.65733536142895</v>
      </c>
      <c r="AC33" s="457"/>
      <c r="AD33" s="286">
        <v>152.65733536142895</v>
      </c>
      <c r="AE33" s="288"/>
      <c r="AF33" s="446"/>
      <c r="AG33" s="446">
        <f>H33*AB33</f>
        <v>1637390.8321947961</v>
      </c>
      <c r="AH33" s="446"/>
      <c r="AI33" s="446">
        <f t="shared" si="36"/>
        <v>1637390.8321947961</v>
      </c>
      <c r="AJ33" s="458"/>
      <c r="AK33" s="458"/>
      <c r="AL33" s="458"/>
      <c r="AM33" s="458"/>
      <c r="AN33" s="458"/>
      <c r="AO33" s="459"/>
      <c r="AP33" s="459"/>
      <c r="AQ33" s="459"/>
      <c r="AR33" s="459"/>
      <c r="AS33" s="459"/>
    </row>
    <row r="34" spans="1:48">
      <c r="A34" s="1">
        <v>37</v>
      </c>
      <c r="B34" s="17"/>
      <c r="C34" s="5" t="s">
        <v>491</v>
      </c>
      <c r="D34" s="4" t="s">
        <v>247</v>
      </c>
      <c r="E34" s="1"/>
      <c r="F34" s="1"/>
      <c r="G34" s="446">
        <v>2559</v>
      </c>
      <c r="H34" s="446">
        <f>'(2) Homes for non-HH earners'!H35</f>
        <v>7141</v>
      </c>
      <c r="I34" s="446">
        <v>2297</v>
      </c>
      <c r="J34" s="446">
        <f t="shared" si="33"/>
        <v>11997</v>
      </c>
      <c r="K34" s="246"/>
      <c r="L34" s="246">
        <f>'(2) Homes for non-HH earners'!BN35</f>
        <v>4523.4726659082571</v>
      </c>
      <c r="M34" s="246">
        <f>'(2) Homes for non-HH earners'!BO35</f>
        <v>9914.4805205116027</v>
      </c>
      <c r="N34" s="246">
        <f>'(2) Homes for non-HH earners'!BP35</f>
        <v>3308.4409481366288</v>
      </c>
      <c r="O34" s="128">
        <f t="shared" si="34"/>
        <v>17746.394134556489</v>
      </c>
      <c r="P34" s="456"/>
      <c r="Q34" s="286">
        <f>V34/G34</f>
        <v>307.99687184214349</v>
      </c>
      <c r="R34" s="286">
        <f t="shared" ref="R34:R38" si="37">W34/H34</f>
        <v>186.20883820681152</v>
      </c>
      <c r="S34" s="286">
        <f>X34/I34</f>
        <v>208.74217356929245</v>
      </c>
      <c r="T34" s="286">
        <f t="shared" ref="T34:T41" si="38">Y34/J34</f>
        <v>216.50096535530136</v>
      </c>
      <c r="U34" s="246"/>
      <c r="V34" s="246">
        <f>'(2) Homes for non-HH earners'!CC35</f>
        <v>788163.99504404515</v>
      </c>
      <c r="W34" s="246">
        <f>'(2) Homes for non-HH earners'!CD35</f>
        <v>1329717.313634841</v>
      </c>
      <c r="X34" s="246">
        <f>'(2) Homes for non-HH earners'!CE35</f>
        <v>479480.77268866473</v>
      </c>
      <c r="Y34" s="246">
        <f t="shared" si="11"/>
        <v>2597362.0813675504</v>
      </c>
      <c r="Z34" s="128"/>
      <c r="AA34" s="457">
        <v>25.2159645257811</v>
      </c>
      <c r="AB34" s="457">
        <v>36.177270817396085</v>
      </c>
      <c r="AC34" s="457">
        <v>90.868449657060921</v>
      </c>
      <c r="AD34" s="286">
        <v>50.163074044969541</v>
      </c>
      <c r="AE34" s="288"/>
      <c r="AF34" s="446">
        <f>G34*AA34</f>
        <v>64527.653221473833</v>
      </c>
      <c r="AG34" s="446">
        <f>H34*AB34</f>
        <v>258341.89090702543</v>
      </c>
      <c r="AH34" s="446">
        <f>I34*AC34</f>
        <v>208724.82886226894</v>
      </c>
      <c r="AI34" s="446">
        <f t="shared" si="36"/>
        <v>531594.37299076817</v>
      </c>
      <c r="AJ34" s="458"/>
      <c r="AK34" s="286">
        <f>AP34/G34</f>
        <v>333.21283636792458</v>
      </c>
      <c r="AL34" s="286">
        <f t="shared" ref="AL34:AL38" si="39">AQ34/H34</f>
        <v>222.3861090242076</v>
      </c>
      <c r="AM34" s="286">
        <f>AR34/I34</f>
        <v>299.61062322635337</v>
      </c>
      <c r="AN34" s="286">
        <f t="shared" ref="AN34:AN41" si="40">AS34/J34</f>
        <v>260.81157409004908</v>
      </c>
      <c r="AO34" s="459"/>
      <c r="AP34" s="460">
        <f t="shared" si="18"/>
        <v>852691.64826551895</v>
      </c>
      <c r="AQ34" s="460">
        <f t="shared" si="19"/>
        <v>1588059.2045418664</v>
      </c>
      <c r="AR34" s="460">
        <f t="shared" si="20"/>
        <v>688205.60155093367</v>
      </c>
      <c r="AS34" s="460">
        <f t="shared" si="16"/>
        <v>3128956.4543583188</v>
      </c>
    </row>
    <row r="35" spans="1:48">
      <c r="A35" s="1">
        <v>38</v>
      </c>
      <c r="B35" s="17"/>
      <c r="C35" s="5" t="s">
        <v>248</v>
      </c>
      <c r="D35" s="4" t="s">
        <v>171</v>
      </c>
      <c r="E35" s="1"/>
      <c r="F35" s="1"/>
      <c r="G35" s="446">
        <v>201.631472433412</v>
      </c>
      <c r="H35" s="446">
        <f>'(2) Homes for non-HH earners'!H36</f>
        <v>415.55032600872619</v>
      </c>
      <c r="I35" s="446">
        <v>159.4840128206024</v>
      </c>
      <c r="J35" s="446">
        <f t="shared" si="33"/>
        <v>776.66581126274059</v>
      </c>
      <c r="K35" s="246"/>
      <c r="L35" s="246">
        <f>'(2) Homes for non-HH earners'!BN36</f>
        <v>201.631472433412</v>
      </c>
      <c r="M35" s="246">
        <f>'(2) Homes for non-HH earners'!BO36</f>
        <v>415.55032600872619</v>
      </c>
      <c r="N35" s="246">
        <f>'(2) Homes for non-HH earners'!BP36</f>
        <v>159.4840128206024</v>
      </c>
      <c r="O35" s="128">
        <f t="shared" si="34"/>
        <v>776.66581126274059</v>
      </c>
      <c r="P35" s="456"/>
      <c r="Q35" s="286">
        <f>V35/G35</f>
        <v>48.55</v>
      </c>
      <c r="R35" s="286">
        <f t="shared" si="37"/>
        <v>48.550000000000004</v>
      </c>
      <c r="S35" s="286">
        <f>X35/I35</f>
        <v>48.55</v>
      </c>
      <c r="T35" s="286">
        <f t="shared" si="38"/>
        <v>48.55</v>
      </c>
      <c r="U35" s="246"/>
      <c r="V35" s="246">
        <f>'(2) Homes for non-HH earners'!CC36</f>
        <v>9789.2079866421518</v>
      </c>
      <c r="W35" s="246">
        <f>'(2) Homes for non-HH earners'!CD36</f>
        <v>20174.968327723658</v>
      </c>
      <c r="X35" s="246">
        <f>'(2) Homes for non-HH earners'!CE36</f>
        <v>7742.9488224402457</v>
      </c>
      <c r="Y35" s="246">
        <f t="shared" si="11"/>
        <v>37707.125136806055</v>
      </c>
      <c r="Z35" s="128"/>
      <c r="AA35" s="457"/>
      <c r="AB35" s="457"/>
      <c r="AC35" s="457"/>
      <c r="AD35" s="286"/>
      <c r="AE35" s="288"/>
      <c r="AF35" s="288"/>
      <c r="AG35" s="288"/>
      <c r="AH35" s="288"/>
      <c r="AI35" s="288"/>
      <c r="AJ35" s="288"/>
      <c r="AK35" s="286">
        <f>AP35/G35</f>
        <v>48.55</v>
      </c>
      <c r="AL35" s="286">
        <f t="shared" si="39"/>
        <v>48.550000000000004</v>
      </c>
      <c r="AM35" s="286">
        <f>AR35/I35</f>
        <v>48.55</v>
      </c>
      <c r="AN35" s="286">
        <f t="shared" si="40"/>
        <v>48.55</v>
      </c>
      <c r="AO35" s="459"/>
      <c r="AP35" s="460">
        <f t="shared" si="18"/>
        <v>9789.2079866421518</v>
      </c>
      <c r="AQ35" s="460">
        <f t="shared" si="19"/>
        <v>20174.968327723658</v>
      </c>
      <c r="AR35" s="460">
        <f t="shared" si="20"/>
        <v>7742.9488224402457</v>
      </c>
      <c r="AS35" s="460">
        <f t="shared" si="16"/>
        <v>37707.125136806055</v>
      </c>
    </row>
    <row r="36" spans="1:48">
      <c r="A36" s="1">
        <v>39</v>
      </c>
      <c r="B36" s="17"/>
      <c r="C36" s="4" t="s">
        <v>148</v>
      </c>
      <c r="D36" s="37" t="s">
        <v>255</v>
      </c>
      <c r="E36" s="1"/>
      <c r="F36" s="1"/>
      <c r="G36" s="446">
        <v>20644.363654471883</v>
      </c>
      <c r="H36" s="446">
        <f>'(2) Homes for non-HH earners'!H37</f>
        <v>32433.40982316939</v>
      </c>
      <c r="I36" s="446">
        <v>6921.9195493771931</v>
      </c>
      <c r="J36" s="446">
        <f t="shared" si="33"/>
        <v>59999.69302701846</v>
      </c>
      <c r="K36" s="246"/>
      <c r="L36" s="246">
        <f>'(2) Homes for non-HH earners'!BN37</f>
        <v>20644.363654471883</v>
      </c>
      <c r="M36" s="246">
        <f>'(2) Homes for non-HH earners'!BO37</f>
        <v>32433.40982316939</v>
      </c>
      <c r="N36" s="246">
        <f>'(2) Homes for non-HH earners'!BP37</f>
        <v>6921.9195493771931</v>
      </c>
      <c r="O36" s="128">
        <f t="shared" si="34"/>
        <v>59999.69302701846</v>
      </c>
      <c r="P36" s="456"/>
      <c r="Q36" s="286">
        <f>V36/G36</f>
        <v>111.34355725743856</v>
      </c>
      <c r="R36" s="286">
        <f t="shared" si="37"/>
        <v>104.4330788124533</v>
      </c>
      <c r="S36" s="286">
        <f>X36/I36</f>
        <v>106.84</v>
      </c>
      <c r="T36" s="286">
        <f t="shared" si="38"/>
        <v>107.08847481247635</v>
      </c>
      <c r="U36" s="246"/>
      <c r="V36" s="246">
        <f>'(2) Homes for non-HH earners'!CC37</f>
        <v>2298616.8866050737</v>
      </c>
      <c r="W36" s="246">
        <f>'(2) Homes for non-HH earners'!CD37</f>
        <v>3387120.844219646</v>
      </c>
      <c r="X36" s="246">
        <f>'(2) Homes for non-HH earners'!CE37</f>
        <v>739537.88465545932</v>
      </c>
      <c r="Y36" s="246">
        <f t="shared" si="11"/>
        <v>6425275.615480179</v>
      </c>
      <c r="Z36" s="128"/>
      <c r="AA36" s="457">
        <v>20.870988750313149</v>
      </c>
      <c r="AB36" s="457">
        <v>9.9736081615728729</v>
      </c>
      <c r="AC36" s="457">
        <v>18.121918392179175</v>
      </c>
      <c r="AD36" s="286">
        <v>15.935974182579118</v>
      </c>
      <c r="AE36" s="288"/>
      <c r="AF36" s="446">
        <f t="shared" ref="AF36:AH37" si="41">G36*AA36</f>
        <v>430868.28158985631</v>
      </c>
      <c r="AG36" s="446">
        <f t="shared" si="41"/>
        <v>323478.12092000002</v>
      </c>
      <c r="AH36" s="446">
        <f t="shared" si="41"/>
        <v>125438.46119104314</v>
      </c>
      <c r="AI36" s="446">
        <f t="shared" si="36"/>
        <v>879784.86370089941</v>
      </c>
      <c r="AJ36" s="458"/>
      <c r="AK36" s="286">
        <f>AP36/G36</f>
        <v>132.21454600775172</v>
      </c>
      <c r="AL36" s="286">
        <f t="shared" si="39"/>
        <v>114.40668697402617</v>
      </c>
      <c r="AM36" s="286">
        <f>AR36/I36</f>
        <v>124.96191839217917</v>
      </c>
      <c r="AN36" s="286">
        <f t="shared" si="40"/>
        <v>121.75163089403702</v>
      </c>
      <c r="AO36" s="459"/>
      <c r="AP36" s="460">
        <f t="shared" si="18"/>
        <v>2729485.1681949301</v>
      </c>
      <c r="AQ36" s="460">
        <f t="shared" si="19"/>
        <v>3710598.9651396461</v>
      </c>
      <c r="AR36" s="460">
        <f t="shared" si="20"/>
        <v>864976.34584650246</v>
      </c>
      <c r="AS36" s="460">
        <f t="shared" si="16"/>
        <v>7305060.4791810783</v>
      </c>
    </row>
    <row r="37" spans="1:48">
      <c r="A37" s="1">
        <v>40</v>
      </c>
      <c r="B37" s="17"/>
      <c r="C37" s="4" t="s">
        <v>89</v>
      </c>
      <c r="D37" s="37" t="s">
        <v>107</v>
      </c>
      <c r="E37" s="1"/>
      <c r="F37" s="1"/>
      <c r="G37" s="446">
        <v>755.51977508935306</v>
      </c>
      <c r="H37" s="446">
        <f>'(2) Homes for non-HH earners'!H38</f>
        <v>2003.1246358252829</v>
      </c>
      <c r="I37" s="446">
        <v>7721.8719526795594</v>
      </c>
      <c r="J37" s="446">
        <f t="shared" si="33"/>
        <v>10480.516363594195</v>
      </c>
      <c r="K37" s="246"/>
      <c r="L37" s="246">
        <f>'(2) Homes for non-HH earners'!BN38</f>
        <v>755.51977508935306</v>
      </c>
      <c r="M37" s="246">
        <f>'(2) Homes for non-HH earners'!BO38</f>
        <v>2003.1246358252829</v>
      </c>
      <c r="N37" s="246">
        <f>'(2) Homes for non-HH earners'!BP38</f>
        <v>7721.8719526795594</v>
      </c>
      <c r="O37" s="128">
        <f t="shared" si="34"/>
        <v>10480.516363594195</v>
      </c>
      <c r="P37" s="456"/>
      <c r="Q37" s="286">
        <f>V37/G37</f>
        <v>112.82318494448573</v>
      </c>
      <c r="R37" s="286">
        <f t="shared" si="37"/>
        <v>104.1336143104833</v>
      </c>
      <c r="S37" s="286">
        <f>X37/I37</f>
        <v>106.84</v>
      </c>
      <c r="T37" s="286">
        <f t="shared" si="38"/>
        <v>106.75404876688432</v>
      </c>
      <c r="U37" s="246"/>
      <c r="V37" s="246">
        <f>'(2) Homes for non-HH earners'!CC38</f>
        <v>85240.14731412234</v>
      </c>
      <c r="W37" s="246">
        <f>'(2) Homes for non-HH earners'!CD38</f>
        <v>208592.60824285733</v>
      </c>
      <c r="X37" s="246">
        <f>'(2) Homes for non-HH earners'!CE38</f>
        <v>825004.79942428414</v>
      </c>
      <c r="Y37" s="246">
        <f t="shared" si="11"/>
        <v>1118837.5549812638</v>
      </c>
      <c r="Z37" s="128"/>
      <c r="AA37" s="457">
        <v>8.9196198784047311</v>
      </c>
      <c r="AB37" s="457">
        <v>104.69269510332566</v>
      </c>
      <c r="AC37" s="457">
        <v>106.10534924342122</v>
      </c>
      <c r="AD37" s="286">
        <v>127.73556925729213</v>
      </c>
      <c r="AE37" s="288"/>
      <c r="AF37" s="446">
        <f t="shared" si="41"/>
        <v>6738.9492044148656</v>
      </c>
      <c r="AG37" s="446">
        <f t="shared" si="41"/>
        <v>209712.51675241659</v>
      </c>
      <c r="AH37" s="446">
        <f t="shared" si="41"/>
        <v>819331.92035204358</v>
      </c>
      <c r="AI37" s="446">
        <f t="shared" si="36"/>
        <v>1035783.3863088751</v>
      </c>
      <c r="AJ37" s="458"/>
      <c r="AK37" s="286">
        <f>AP37/G37</f>
        <v>121.74280482289045</v>
      </c>
      <c r="AL37" s="286">
        <f t="shared" si="39"/>
        <v>208.82630941380896</v>
      </c>
      <c r="AM37" s="286">
        <f>AR37/I37</f>
        <v>212.94534924342122</v>
      </c>
      <c r="AN37" s="286">
        <f t="shared" si="40"/>
        <v>205.58347189596216</v>
      </c>
      <c r="AO37" s="459"/>
      <c r="AP37" s="460">
        <f t="shared" si="18"/>
        <v>91979.096518537204</v>
      </c>
      <c r="AQ37" s="460">
        <f t="shared" si="19"/>
        <v>418305.12499527389</v>
      </c>
      <c r="AR37" s="460">
        <f t="shared" si="20"/>
        <v>1644336.7197763277</v>
      </c>
      <c r="AS37" s="460">
        <f t="shared" si="16"/>
        <v>2154620.9412901388</v>
      </c>
    </row>
    <row r="38" spans="1:48">
      <c r="A38" s="1">
        <v>41</v>
      </c>
      <c r="B38" s="17"/>
      <c r="C38" s="5" t="s">
        <v>257</v>
      </c>
      <c r="D38" s="4" t="s">
        <v>326</v>
      </c>
      <c r="E38" s="1"/>
      <c r="F38" s="1"/>
      <c r="G38" s="446">
        <v>32911.338985626855</v>
      </c>
      <c r="H38" s="446">
        <f>'(2) Homes for non-HH earners'!H39</f>
        <v>6948.3876391959402</v>
      </c>
      <c r="I38" s="446">
        <v>0</v>
      </c>
      <c r="J38" s="446">
        <f t="shared" si="33"/>
        <v>39859.726624822797</v>
      </c>
      <c r="K38" s="246"/>
      <c r="L38" s="246">
        <f>'(2) Homes for non-HH earners'!BN39</f>
        <v>32911.338985626855</v>
      </c>
      <c r="M38" s="246">
        <f>'(2) Homes for non-HH earners'!BO39</f>
        <v>6948.3876391959402</v>
      </c>
      <c r="N38" s="246">
        <f>'(2) Homes for non-HH earners'!BP39</f>
        <v>0</v>
      </c>
      <c r="O38" s="128">
        <f t="shared" si="34"/>
        <v>39859.726624822797</v>
      </c>
      <c r="P38" s="456"/>
      <c r="Q38" s="286">
        <f>V38/G38</f>
        <v>55.625</v>
      </c>
      <c r="R38" s="286">
        <f t="shared" si="37"/>
        <v>52.01</v>
      </c>
      <c r="S38" s="286"/>
      <c r="T38" s="286">
        <f t="shared" si="38"/>
        <v>54.994829563756944</v>
      </c>
      <c r="U38" s="246"/>
      <c r="V38" s="246">
        <f>'(2) Homes for non-HH earners'!CC39</f>
        <v>1830693.2310754939</v>
      </c>
      <c r="W38" s="246">
        <f>'(2) Homes for non-HH earners'!CD39</f>
        <v>361385.64111458085</v>
      </c>
      <c r="X38" s="246"/>
      <c r="Y38" s="246">
        <f t="shared" si="11"/>
        <v>2192078.8721900745</v>
      </c>
      <c r="Z38" s="128"/>
      <c r="AA38" s="128">
        <v>0</v>
      </c>
      <c r="AB38" s="128">
        <v>0</v>
      </c>
      <c r="AC38" s="128">
        <v>0</v>
      </c>
      <c r="AD38" s="128">
        <v>0</v>
      </c>
      <c r="AE38" s="288"/>
      <c r="AF38" s="128">
        <v>0</v>
      </c>
      <c r="AG38" s="128">
        <v>0</v>
      </c>
      <c r="AH38" s="128">
        <v>0</v>
      </c>
      <c r="AI38" s="128">
        <v>0</v>
      </c>
      <c r="AJ38" s="458"/>
      <c r="AK38" s="286">
        <f>AP38/G38</f>
        <v>55.625</v>
      </c>
      <c r="AL38" s="286">
        <f t="shared" si="39"/>
        <v>52.01</v>
      </c>
      <c r="AM38" s="286"/>
      <c r="AN38" s="286">
        <f t="shared" si="40"/>
        <v>54.994829563756944</v>
      </c>
      <c r="AO38" s="459"/>
      <c r="AP38" s="460">
        <f t="shared" si="18"/>
        <v>1830693.2310754939</v>
      </c>
      <c r="AQ38" s="460">
        <f t="shared" si="19"/>
        <v>361385.64111458085</v>
      </c>
      <c r="AR38" s="460"/>
      <c r="AS38" s="460">
        <f t="shared" si="16"/>
        <v>2192078.8721900745</v>
      </c>
    </row>
    <row r="39" spans="1:48">
      <c r="A39" s="1">
        <v>42</v>
      </c>
      <c r="B39" s="17"/>
      <c r="C39" s="37" t="s">
        <v>467</v>
      </c>
      <c r="D39" s="37" t="s">
        <v>246</v>
      </c>
      <c r="E39" s="1"/>
      <c r="F39" s="1"/>
      <c r="G39" s="446"/>
      <c r="H39" s="446"/>
      <c r="I39" s="446">
        <v>10810</v>
      </c>
      <c r="J39" s="446">
        <f t="shared" si="33"/>
        <v>10810</v>
      </c>
      <c r="K39" s="246"/>
      <c r="L39" s="246">
        <f>'(2) Homes for non-HH earners'!BN40</f>
        <v>0</v>
      </c>
      <c r="M39" s="246">
        <f>'(2) Homes for non-HH earners'!BO40</f>
        <v>0</v>
      </c>
      <c r="N39" s="246">
        <f>'(2) Homes for non-HH earners'!BP40</f>
        <v>10810</v>
      </c>
      <c r="O39" s="128">
        <f t="shared" si="34"/>
        <v>10810</v>
      </c>
      <c r="P39" s="456"/>
      <c r="Q39" s="246"/>
      <c r="R39" s="246"/>
      <c r="S39" s="286">
        <f>X39/I39</f>
        <v>153.28962840000003</v>
      </c>
      <c r="T39" s="286">
        <f t="shared" si="38"/>
        <v>153.28962840000003</v>
      </c>
      <c r="U39" s="246"/>
      <c r="V39" s="246"/>
      <c r="W39" s="246"/>
      <c r="X39" s="246">
        <f>'(2) Homes for non-HH earners'!CE40</f>
        <v>1657060.8830040002</v>
      </c>
      <c r="Y39" s="246">
        <f t="shared" si="11"/>
        <v>1657060.8830040002</v>
      </c>
      <c r="Z39" s="128"/>
      <c r="AA39" s="128"/>
      <c r="AB39" s="128"/>
      <c r="AC39" s="128"/>
      <c r="AD39" s="128"/>
      <c r="AE39" s="288"/>
      <c r="AF39" s="446"/>
      <c r="AG39" s="446"/>
      <c r="AH39" s="446"/>
      <c r="AI39" s="446"/>
      <c r="AJ39" s="458"/>
      <c r="AK39" s="458"/>
      <c r="AL39" s="458"/>
      <c r="AM39" s="286">
        <f>AR39/I39</f>
        <v>153.28962840000003</v>
      </c>
      <c r="AN39" s="286">
        <f t="shared" si="40"/>
        <v>153.28962840000003</v>
      </c>
      <c r="AO39" s="459"/>
      <c r="AP39" s="464"/>
      <c r="AQ39" s="464"/>
      <c r="AR39" s="460">
        <f t="shared" si="20"/>
        <v>1657060.8830040002</v>
      </c>
      <c r="AS39" s="460">
        <f t="shared" si="16"/>
        <v>1657060.8830040002</v>
      </c>
    </row>
    <row r="40" spans="1:48">
      <c r="A40" s="1">
        <v>43</v>
      </c>
      <c r="B40" s="17" t="s">
        <v>386</v>
      </c>
      <c r="C40" s="37" t="s">
        <v>507</v>
      </c>
      <c r="D40" s="37" t="s">
        <v>79</v>
      </c>
      <c r="E40" s="1"/>
      <c r="F40" s="1"/>
      <c r="G40" s="446"/>
      <c r="H40" s="446"/>
      <c r="I40" s="446">
        <v>690</v>
      </c>
      <c r="J40" s="446">
        <f t="shared" si="33"/>
        <v>690</v>
      </c>
      <c r="K40" s="246"/>
      <c r="L40" s="246">
        <f>'(2) Homes for non-HH earners'!BN41</f>
        <v>0</v>
      </c>
      <c r="M40" s="246">
        <f>'(2) Homes for non-HH earners'!BO41</f>
        <v>0</v>
      </c>
      <c r="N40" s="246">
        <f>'(2) Homes for non-HH earners'!BP41</f>
        <v>690</v>
      </c>
      <c r="O40" s="128">
        <f t="shared" si="34"/>
        <v>690</v>
      </c>
      <c r="P40" s="456"/>
      <c r="Q40" s="246"/>
      <c r="R40" s="246"/>
      <c r="S40" s="286">
        <f>X40/I40</f>
        <v>153.28962840000003</v>
      </c>
      <c r="T40" s="286">
        <f t="shared" si="38"/>
        <v>153.28962840000003</v>
      </c>
      <c r="U40" s="246"/>
      <c r="V40" s="246"/>
      <c r="W40" s="246"/>
      <c r="X40" s="246">
        <f>'(2) Homes for non-HH earners'!CE41</f>
        <v>105769.84359600002</v>
      </c>
      <c r="Y40" s="246">
        <f t="shared" si="11"/>
        <v>105769.84359600002</v>
      </c>
      <c r="Z40" s="128"/>
      <c r="AA40" s="128"/>
      <c r="AB40" s="128"/>
      <c r="AC40" s="128"/>
      <c r="AD40" s="128"/>
      <c r="AE40" s="288"/>
      <c r="AF40" s="446"/>
      <c r="AG40" s="446"/>
      <c r="AH40" s="446"/>
      <c r="AI40" s="446"/>
      <c r="AJ40" s="458"/>
      <c r="AK40" s="458"/>
      <c r="AL40" s="458"/>
      <c r="AM40" s="286">
        <f>AR40/I40</f>
        <v>153.28962840000003</v>
      </c>
      <c r="AN40" s="286">
        <f t="shared" si="40"/>
        <v>153.28962840000003</v>
      </c>
      <c r="AO40" s="459"/>
      <c r="AP40" s="464"/>
      <c r="AQ40" s="464"/>
      <c r="AR40" s="460">
        <f t="shared" si="20"/>
        <v>105769.84359600002</v>
      </c>
      <c r="AS40" s="460">
        <f t="shared" si="16"/>
        <v>105769.84359600002</v>
      </c>
    </row>
    <row r="41" spans="1:48">
      <c r="A41" s="1">
        <v>44</v>
      </c>
      <c r="B41" s="18" t="s">
        <v>387</v>
      </c>
      <c r="C41" s="5" t="s">
        <v>254</v>
      </c>
      <c r="D41" s="38" t="s">
        <v>556</v>
      </c>
      <c r="E41" s="1"/>
      <c r="F41" s="1"/>
      <c r="G41" s="446">
        <v>780.82950551405679</v>
      </c>
      <c r="H41" s="446">
        <f>'(2) Homes for non-HH earners'!H42</f>
        <v>6316.5595146260684</v>
      </c>
      <c r="I41" s="446">
        <f>'(2) Homes for non-HH earners'!I42</f>
        <v>88938.200800044797</v>
      </c>
      <c r="J41" s="446">
        <f t="shared" si="33"/>
        <v>96035.58982018492</v>
      </c>
      <c r="K41" s="246"/>
      <c r="L41" s="246">
        <v>2230.9414443258765</v>
      </c>
      <c r="M41" s="246">
        <v>16242.581609038461</v>
      </c>
      <c r="N41" s="246">
        <v>228698.23062868664</v>
      </c>
      <c r="O41" s="128">
        <f t="shared" si="34"/>
        <v>247171.75368205097</v>
      </c>
      <c r="P41" s="456"/>
      <c r="Q41" s="286">
        <f>V41/G41</f>
        <v>168.71165304428573</v>
      </c>
      <c r="R41" s="286">
        <f>W41/H41</f>
        <v>123.61340571428573</v>
      </c>
      <c r="S41" s="286">
        <f>X41/I41</f>
        <v>117.10285714285716</v>
      </c>
      <c r="T41" s="286">
        <f t="shared" si="38"/>
        <v>117.95068801743848</v>
      </c>
      <c r="U41" s="246"/>
      <c r="V41" s="246">
        <f>'(2) Homes for non-HH earners'!CC42</f>
        <v>131735.03662102873</v>
      </c>
      <c r="W41" s="246">
        <f>'(2) Homes for non-HH earners'!CD42</f>
        <v>780811.43399990397</v>
      </c>
      <c r="X41" s="246">
        <f>'(2) Homes for non-HH earners'!CE42</f>
        <v>10414917.42283039</v>
      </c>
      <c r="Y41" s="246">
        <v>11327463.893451322</v>
      </c>
      <c r="Z41" s="128"/>
      <c r="AA41" s="128"/>
      <c r="AB41" s="128"/>
      <c r="AC41" s="128"/>
      <c r="AD41" s="128"/>
      <c r="AE41" s="288"/>
      <c r="AF41" s="446"/>
      <c r="AG41" s="446"/>
      <c r="AH41" s="446"/>
      <c r="AI41" s="446"/>
      <c r="AJ41" s="458"/>
      <c r="AK41" s="286">
        <f>AP41/G41</f>
        <v>168.71165304428573</v>
      </c>
      <c r="AL41" s="286">
        <f>AQ41/H41</f>
        <v>123.61340571428573</v>
      </c>
      <c r="AM41" s="286">
        <f>AR41/I41</f>
        <v>117.10285714285716</v>
      </c>
      <c r="AN41" s="286">
        <f t="shared" si="40"/>
        <v>117.95068801743848</v>
      </c>
      <c r="AO41" s="459"/>
      <c r="AP41" s="460">
        <f>V41+AF41</f>
        <v>131735.03662102873</v>
      </c>
      <c r="AQ41" s="460">
        <f t="shared" si="19"/>
        <v>780811.43399990397</v>
      </c>
      <c r="AR41" s="460">
        <f>X41+AH41</f>
        <v>10414917.42283039</v>
      </c>
      <c r="AS41" s="460">
        <f t="shared" si="16"/>
        <v>11327463.893451322</v>
      </c>
    </row>
    <row r="42" spans="1:48">
      <c r="A42" s="1">
        <v>45</v>
      </c>
      <c r="B42" s="12"/>
      <c r="C42" s="5" t="s">
        <v>589</v>
      </c>
      <c r="D42" s="4"/>
      <c r="E42" s="1"/>
      <c r="F42" s="1"/>
      <c r="G42" s="411"/>
      <c r="H42" s="411"/>
      <c r="I42" s="411"/>
      <c r="J42" s="411"/>
      <c r="K42" s="49"/>
      <c r="L42" s="257"/>
      <c r="M42" s="257"/>
      <c r="N42" s="257"/>
      <c r="O42" s="135"/>
      <c r="P42" s="346"/>
      <c r="Q42" s="257"/>
      <c r="R42" s="257"/>
      <c r="S42" s="257"/>
      <c r="T42" s="257"/>
      <c r="U42" s="49"/>
      <c r="V42" s="354"/>
      <c r="W42" s="354"/>
      <c r="X42" s="354"/>
      <c r="Y42" s="354"/>
      <c r="Z42" s="191"/>
      <c r="AD42" s="191"/>
      <c r="AF42" s="410" t="s">
        <v>103</v>
      </c>
      <c r="AJ42" s="403"/>
      <c r="AK42" s="403"/>
      <c r="AL42" s="403"/>
      <c r="AM42" s="403"/>
      <c r="AN42" s="403"/>
      <c r="AO42" s="403"/>
      <c r="AP42" s="403"/>
      <c r="AQ42" s="403"/>
      <c r="AR42" s="403"/>
      <c r="AS42" s="403"/>
      <c r="AT42" s="403"/>
      <c r="AU42" s="403"/>
    </row>
    <row r="43" spans="1:48">
      <c r="A43" s="1"/>
      <c r="B43" s="22"/>
      <c r="C43" s="5"/>
      <c r="D43" s="38"/>
      <c r="E43" s="1"/>
      <c r="F43" s="1"/>
      <c r="G43" s="411"/>
      <c r="H43" s="411"/>
      <c r="I43" s="411"/>
      <c r="J43" s="411"/>
      <c r="K43" s="317"/>
      <c r="L43" s="317"/>
      <c r="M43" s="317"/>
      <c r="N43" s="317"/>
      <c r="O43" s="317"/>
      <c r="P43" s="346"/>
      <c r="Q43" s="317"/>
      <c r="R43" s="317"/>
      <c r="S43" s="317"/>
      <c r="T43" s="317"/>
      <c r="U43" s="317"/>
      <c r="V43" s="354"/>
      <c r="W43" s="354"/>
      <c r="X43" s="354"/>
      <c r="Y43" s="354"/>
      <c r="Z43" s="191"/>
      <c r="AA43" s="354"/>
      <c r="AB43" s="354"/>
      <c r="AC43" s="354"/>
      <c r="AF43" s="410" t="s">
        <v>195</v>
      </c>
      <c r="AJ43" s="403"/>
      <c r="AK43" s="403"/>
      <c r="AL43" s="403"/>
      <c r="AM43" s="403"/>
      <c r="AN43" s="403"/>
      <c r="AO43" s="403"/>
      <c r="AP43" s="466">
        <f>AP46/1000000</f>
        <v>36.059458491147204</v>
      </c>
      <c r="AQ43" s="466">
        <f t="shared" ref="AQ43:AS43" si="42">AQ46/1000000</f>
        <v>38.28143530288974</v>
      </c>
      <c r="AR43" s="466">
        <f t="shared" si="42"/>
        <v>98.813543045095713</v>
      </c>
      <c r="AS43" s="466">
        <f t="shared" si="42"/>
        <v>173.15443683913267</v>
      </c>
      <c r="AT43" s="403"/>
      <c r="AU43" s="403"/>
    </row>
    <row r="44" spans="1:48">
      <c r="A44" s="1"/>
      <c r="B44" s="22"/>
      <c r="C44" s="5"/>
      <c r="D44" s="38"/>
      <c r="E44" s="1"/>
      <c r="F44" s="8" t="s">
        <v>58</v>
      </c>
      <c r="G44" s="411">
        <f>G46-G21-G22-SUM(G38:G41)</f>
        <v>95376.558591708759</v>
      </c>
      <c r="H44" s="411">
        <f>H46-H21-H22-SUM(H38:H41)</f>
        <v>117353.05005375562</v>
      </c>
      <c r="I44" s="411">
        <f>I46-I21-I22-SUM(I38:I41)</f>
        <v>139783.38148869621</v>
      </c>
      <c r="J44" s="411">
        <f>J46-J21-J22-SUM(J38:J41)</f>
        <v>352512.99013416062</v>
      </c>
      <c r="K44" s="317"/>
      <c r="L44" s="317"/>
      <c r="M44" s="317"/>
      <c r="N44" s="317"/>
      <c r="O44" s="317"/>
      <c r="P44" s="346"/>
      <c r="Q44" s="317"/>
      <c r="R44" s="317"/>
      <c r="S44" s="317"/>
      <c r="T44" s="317"/>
      <c r="U44" s="317"/>
      <c r="V44" s="317"/>
      <c r="W44" s="317"/>
      <c r="X44" s="317"/>
      <c r="Y44" s="317"/>
      <c r="Z44" s="191"/>
      <c r="AA44" s="328">
        <f>AF44/G44</f>
        <v>50.748600135796806</v>
      </c>
      <c r="AB44" s="354">
        <f>AG44/H44</f>
        <v>71.337315567933317</v>
      </c>
      <c r="AC44" s="354">
        <f>AH44/I44</f>
        <v>170.48043075890027</v>
      </c>
      <c r="AD44" s="354">
        <f t="shared" ref="AD44" si="43">AI42/J44</f>
        <v>0</v>
      </c>
      <c r="AE44" s="276" t="s">
        <v>192</v>
      </c>
      <c r="AF44" s="420">
        <f>AF11+AF24</f>
        <v>4840226.8342990233</v>
      </c>
      <c r="AG44" s="420">
        <f>AG11+AG24</f>
        <v>8371651.5645442382</v>
      </c>
      <c r="AH44" s="420">
        <f>AH11+AH24</f>
        <v>23830331.089128613</v>
      </c>
      <c r="AI44" s="403">
        <f>SUM(AF44:AH44)</f>
        <v>37042209.487971872</v>
      </c>
      <c r="AJ44" s="274"/>
      <c r="AP44" s="207"/>
      <c r="AQ44" s="207"/>
      <c r="AR44" s="207"/>
      <c r="AS44" s="207"/>
    </row>
    <row r="45" spans="1:48" s="1" customFormat="1" ht="16" thickBot="1">
      <c r="B45" s="54"/>
      <c r="C45" s="5"/>
      <c r="D45" s="38"/>
      <c r="F45" s="8" t="s">
        <v>38</v>
      </c>
      <c r="G45" s="411">
        <f>G46-G22-SUM(G39:G41)</f>
        <v>128988.89238495556</v>
      </c>
      <c r="H45" s="411">
        <f>H46-H22-SUM(H39:H41)</f>
        <v>124974.03451434188</v>
      </c>
      <c r="I45" s="411">
        <f>I46-I22-SUM(I39:I41)</f>
        <v>139783.38148869621</v>
      </c>
      <c r="J45" s="411">
        <f>G45+H45+I45</f>
        <v>393746.30838799366</v>
      </c>
      <c r="K45" s="148"/>
      <c r="L45" s="330">
        <f>L46-L22-SUM(L39:L41)</f>
        <v>185998.9584000941</v>
      </c>
      <c r="M45" s="330">
        <f>M46-M22-SUM(M39:M41)</f>
        <v>156875.32520992594</v>
      </c>
      <c r="N45" s="330">
        <f>N46-N22-SUM(N39:N41)</f>
        <v>195938.17294964768</v>
      </c>
      <c r="O45" s="148">
        <f>L45+M45+N45</f>
        <v>538812.45655966771</v>
      </c>
      <c r="P45" s="346"/>
      <c r="Q45" s="269">
        <f t="shared" ref="Q45:T46" si="44">V45/G45</f>
        <v>241.00909811248991</v>
      </c>
      <c r="R45" s="269">
        <f t="shared" si="44"/>
        <v>230.87148108367828</v>
      </c>
      <c r="S45" s="269">
        <f t="shared" si="44"/>
        <v>449.3056552049112</v>
      </c>
      <c r="T45" s="269">
        <f t="shared" si="44"/>
        <v>311.7385439742082</v>
      </c>
      <c r="V45" s="386">
        <f>V46-V22-SUM(V39:V41)</f>
        <v>31087496.620227158</v>
      </c>
      <c r="W45" s="386">
        <f>W46-W22-SUM(W39:W41)</f>
        <v>28852940.445328839</v>
      </c>
      <c r="X45" s="386">
        <f>X46-X22-SUM(X39:X41)</f>
        <v>62805463.806536704</v>
      </c>
      <c r="Y45" s="147">
        <f>V45+W45+X45</f>
        <v>122745900.87209269</v>
      </c>
      <c r="Z45" s="51"/>
      <c r="AA45" s="195">
        <f t="shared" ref="AA45:AC46" si="45">AF44/G45</f>
        <v>37.524369306574158</v>
      </c>
      <c r="AB45" s="354">
        <f t="shared" si="45"/>
        <v>66.987127342708277</v>
      </c>
      <c r="AC45" s="354">
        <f t="shared" si="45"/>
        <v>170.48043075890027</v>
      </c>
      <c r="AD45" s="354">
        <f t="shared" ref="AD45" si="46">AI42/J45</f>
        <v>0</v>
      </c>
      <c r="AE45" s="127" t="s">
        <v>264</v>
      </c>
      <c r="AF45" s="420">
        <f>AF44</f>
        <v>4840226.8342990233</v>
      </c>
      <c r="AG45" s="420">
        <f t="shared" ref="AG45:AH45" si="47">AG44</f>
        <v>8371651.5645442382</v>
      </c>
      <c r="AH45" s="420">
        <f t="shared" si="47"/>
        <v>23830331.089128613</v>
      </c>
      <c r="AI45" s="403">
        <f t="shared" ref="AI45:AI46" si="48">SUM(AF45:AH45)</f>
        <v>37042209.487971872</v>
      </c>
      <c r="AJ45" s="200"/>
      <c r="AK45" s="208">
        <f t="shared" ref="AK45:AN46" si="49">AP45/G45</f>
        <v>278.53346741906404</v>
      </c>
      <c r="AL45" s="208">
        <f t="shared" si="49"/>
        <v>297.85860842638658</v>
      </c>
      <c r="AM45" s="208">
        <f t="shared" si="49"/>
        <v>619.7860859638115</v>
      </c>
      <c r="AN45" s="208">
        <f t="shared" si="49"/>
        <v>405.81487865687103</v>
      </c>
      <c r="AO45" s="8" t="s">
        <v>273</v>
      </c>
      <c r="AP45" s="206">
        <f>AP46-AP22-SUM(AP39:AP41)</f>
        <v>35927723.454526179</v>
      </c>
      <c r="AQ45" s="255">
        <f>AQ46-AQ22-SUM(AQ39:AQ41)</f>
        <v>37224592.009873077</v>
      </c>
      <c r="AR45" s="255">
        <f>AR46-AR22-SUM(AR39:AR41)</f>
        <v>86635794.895665318</v>
      </c>
      <c r="AS45" s="206">
        <f t="shared" si="16"/>
        <v>159788110.36006457</v>
      </c>
      <c r="AT45" s="410" t="s">
        <v>194</v>
      </c>
      <c r="AU45" s="191"/>
      <c r="AV45"/>
    </row>
    <row r="46" spans="1:48" s="1" customFormat="1" ht="16" thickBot="1">
      <c r="B46" s="54"/>
      <c r="C46" s="5"/>
      <c r="D46" s="38"/>
      <c r="F46" s="8" t="s">
        <v>470</v>
      </c>
      <c r="G46" s="411">
        <f>G11+G24</f>
        <v>129769.72189046962</v>
      </c>
      <c r="H46" s="411">
        <f>H11+H24</f>
        <v>132277.22652896796</v>
      </c>
      <c r="I46" s="411">
        <f>I11+I24</f>
        <v>240221.58228874099</v>
      </c>
      <c r="J46" s="411">
        <f>J11+J24</f>
        <v>502268.53070817859</v>
      </c>
      <c r="K46" s="148"/>
      <c r="L46" s="330">
        <f>L11+L24</f>
        <v>188229.89984441997</v>
      </c>
      <c r="M46" s="330">
        <f>M11+M24</f>
        <v>175654.9618189644</v>
      </c>
      <c r="N46" s="330">
        <f>N11+N24</f>
        <v>436136.40357833431</v>
      </c>
      <c r="O46" s="313">
        <f>L46+M46+N46</f>
        <v>800021.26524171862</v>
      </c>
      <c r="P46" s="346"/>
      <c r="Q46" s="269">
        <f t="shared" si="44"/>
        <v>240.57408155038166</v>
      </c>
      <c r="R46" s="269">
        <f t="shared" si="44"/>
        <v>226.11438509254978</v>
      </c>
      <c r="S46" s="269">
        <f t="shared" si="44"/>
        <v>312.14186186584578</v>
      </c>
      <c r="T46" s="269">
        <f t="shared" si="44"/>
        <v>270.99493404304661</v>
      </c>
      <c r="V46" s="386">
        <f>V11+V24</f>
        <v>31219231.656848188</v>
      </c>
      <c r="W46" s="386">
        <f>W11+W24</f>
        <v>29909783.738345504</v>
      </c>
      <c r="X46" s="386">
        <f>X11+X24</f>
        <v>74983211.955967098</v>
      </c>
      <c r="Y46" s="146">
        <f>V46+W46+X46</f>
        <v>136112227.35116079</v>
      </c>
      <c r="Z46" s="51"/>
      <c r="AA46" s="200">
        <f t="shared" si="45"/>
        <v>37.298583704944299</v>
      </c>
      <c r="AB46" s="354">
        <f t="shared" si="45"/>
        <v>63.288683806134188</v>
      </c>
      <c r="AC46" s="354">
        <f t="shared" si="45"/>
        <v>99.20145751302681</v>
      </c>
      <c r="AD46" s="354">
        <f t="shared" ref="AD46" si="50">AI43/J46</f>
        <v>0</v>
      </c>
      <c r="AE46" s="127" t="s">
        <v>265</v>
      </c>
      <c r="AF46" s="420">
        <f>AF44</f>
        <v>4840226.8342990233</v>
      </c>
      <c r="AG46" s="420">
        <f t="shared" ref="AG46:AH46" si="51">AG44</f>
        <v>8371651.5645442382</v>
      </c>
      <c r="AH46" s="420">
        <f t="shared" si="51"/>
        <v>23830331.089128613</v>
      </c>
      <c r="AI46" s="408">
        <f t="shared" si="48"/>
        <v>37042209.487971872</v>
      </c>
      <c r="AJ46" s="200"/>
      <c r="AK46" s="208">
        <f t="shared" si="49"/>
        <v>277.8726652553259</v>
      </c>
      <c r="AL46" s="208">
        <f t="shared" si="49"/>
        <v>289.40306889868396</v>
      </c>
      <c r="AM46" s="208">
        <f t="shared" si="49"/>
        <v>411.34331937887259</v>
      </c>
      <c r="AN46" s="208">
        <f t="shared" si="49"/>
        <v>344.74474559453648</v>
      </c>
      <c r="AO46" s="8" t="s">
        <v>196</v>
      </c>
      <c r="AP46" s="206">
        <f>AP11+AP24</f>
        <v>36059458.491147205</v>
      </c>
      <c r="AQ46" s="255">
        <f>AQ11+AQ24</f>
        <v>38281435.302889742</v>
      </c>
      <c r="AR46" s="255">
        <f>AR11+AR24</f>
        <v>98813543.045095712</v>
      </c>
      <c r="AS46" s="278">
        <f t="shared" si="16"/>
        <v>173154436.83913267</v>
      </c>
      <c r="AT46" s="410" t="s">
        <v>193</v>
      </c>
      <c r="AU46" s="354"/>
      <c r="AV46"/>
    </row>
    <row r="47" spans="1:48">
      <c r="A47" s="1"/>
      <c r="B47" s="54"/>
      <c r="C47" s="5"/>
      <c r="D47" s="38"/>
      <c r="F47" s="127" t="s">
        <v>299</v>
      </c>
      <c r="G47" s="413">
        <f>G46-'(2) Homes for non-HH earners'!G46</f>
        <v>0</v>
      </c>
      <c r="H47" s="413">
        <f>H46-'(2) Homes for non-HH earners'!H46</f>
        <v>2.9688817448914051E-6</v>
      </c>
      <c r="I47" s="413">
        <f>I46-'(2) Homes for non-HH earners'!I46</f>
        <v>0</v>
      </c>
      <c r="J47" s="413">
        <f>J46-'(2) Homes for non-HH earners'!J46</f>
        <v>2.9687653295695782E-6</v>
      </c>
      <c r="K47" s="31"/>
      <c r="L47" s="164">
        <f>L46-'(2) Homes for non-HH earners'!BN46</f>
        <v>0</v>
      </c>
      <c r="M47" s="164">
        <f>M46-'(2) Homes for non-HH earners'!BO46</f>
        <v>0</v>
      </c>
      <c r="N47" s="164">
        <f>N46-'(2) Homes for non-HH earners'!BP46</f>
        <v>0</v>
      </c>
      <c r="O47" s="164">
        <f>O46-'(2) Homes for non-HH earners'!BQ46</f>
        <v>0</v>
      </c>
      <c r="P47" s="346"/>
      <c r="Q47" s="233" t="s">
        <v>34</v>
      </c>
      <c r="R47" s="31"/>
      <c r="S47" s="31"/>
      <c r="T47" s="42"/>
      <c r="U47" s="1"/>
      <c r="V47" s="386"/>
      <c r="W47" s="386"/>
      <c r="X47" s="386"/>
      <c r="Y47" s="257"/>
      <c r="Z47" s="247"/>
      <c r="AS47" s="369"/>
    </row>
    <row r="48" spans="1:48">
      <c r="A48" s="1"/>
      <c r="B48" s="54"/>
      <c r="C48" s="5"/>
      <c r="D48" s="38"/>
      <c r="G48" s="419" t="s">
        <v>261</v>
      </c>
      <c r="H48" s="414">
        <v>21307.4327470311</v>
      </c>
      <c r="K48" s="31"/>
      <c r="L48" s="271" t="s">
        <v>333</v>
      </c>
      <c r="M48" s="273">
        <f>41284.45*H48/H$50</f>
        <v>27460.926898532911</v>
      </c>
      <c r="N48" s="31"/>
      <c r="O48" s="31"/>
      <c r="P48" s="346"/>
      <c r="Q48" s="31"/>
      <c r="R48" s="31"/>
      <c r="S48" s="31"/>
      <c r="T48" s="138"/>
      <c r="U48" s="1"/>
      <c r="V48" s="387">
        <v>31223842.345073033</v>
      </c>
      <c r="W48" s="387">
        <v>29909783.738345496</v>
      </c>
      <c r="X48" s="388">
        <v>74983211.955967098</v>
      </c>
      <c r="Y48" s="145">
        <v>136116838.03938562</v>
      </c>
      <c r="Z48" s="247" t="s">
        <v>221</v>
      </c>
      <c r="AD48" s="328"/>
      <c r="AE48" s="328"/>
      <c r="AF48" s="409" t="s">
        <v>338</v>
      </c>
      <c r="AS48" s="394">
        <f>AS46*203.362/189.737</f>
        <v>185588644.19949561</v>
      </c>
      <c r="AT48" s="50" t="s">
        <v>571</v>
      </c>
    </row>
    <row r="49" spans="1:39">
      <c r="A49" s="1"/>
      <c r="B49" s="54"/>
      <c r="C49" s="5"/>
      <c r="D49" s="38"/>
      <c r="G49" s="419" t="s">
        <v>262</v>
      </c>
      <c r="H49" s="414">
        <v>10725.923050589983</v>
      </c>
      <c r="K49" s="31"/>
      <c r="L49" s="271" t="s">
        <v>334</v>
      </c>
      <c r="M49" s="31">
        <f>41284.45*H49/H$50</f>
        <v>13823.523101467084</v>
      </c>
      <c r="N49" s="31"/>
      <c r="O49" s="31"/>
      <c r="P49" s="346"/>
      <c r="Q49" s="31"/>
      <c r="R49" s="31"/>
      <c r="S49" s="31"/>
      <c r="T49" s="138"/>
      <c r="U49" s="1"/>
      <c r="V49" s="275">
        <f>100*(V46-V48)/V48</f>
        <v>-1.4766562596266049E-2</v>
      </c>
      <c r="W49" s="275">
        <f>100*(W46-W48)/W48</f>
        <v>2.4910178763251625E-14</v>
      </c>
      <c r="X49" s="275">
        <f>100*(X46-X48)/X48</f>
        <v>0</v>
      </c>
      <c r="Y49" s="275">
        <f>100*(Y46-Y48)/Y48</f>
        <v>-3.3873018880207703E-3</v>
      </c>
      <c r="Z49" s="276" t="s">
        <v>592</v>
      </c>
      <c r="AD49" s="328"/>
      <c r="AE49" s="8" t="s">
        <v>38</v>
      </c>
      <c r="AF49" s="403">
        <f>100*AF45/AP45</f>
        <v>13.4721222746699</v>
      </c>
      <c r="AG49" s="403">
        <f t="shared" ref="AG49:AI50" si="52">100*AG45/AQ45</f>
        <v>22.489572383557153</v>
      </c>
      <c r="AH49" s="403">
        <f t="shared" si="52"/>
        <v>27.506333978729298</v>
      </c>
      <c r="AI49" s="470">
        <f t="shared" si="52"/>
        <v>23.182081197719537</v>
      </c>
    </row>
    <row r="50" spans="1:39">
      <c r="A50" s="1"/>
      <c r="G50" s="419" t="s">
        <v>332</v>
      </c>
      <c r="H50" s="414">
        <f>H48+H49</f>
        <v>32033.355797621083</v>
      </c>
      <c r="K50" s="31"/>
      <c r="L50" s="271" t="s">
        <v>335</v>
      </c>
      <c r="M50" s="31">
        <f>M48+M49</f>
        <v>41284.449999999997</v>
      </c>
      <c r="N50" s="331">
        <v>128140.17808232605</v>
      </c>
      <c r="O50" s="31"/>
      <c r="P50" s="346"/>
      <c r="Q50" s="31"/>
      <c r="R50" s="274"/>
      <c r="S50" s="31"/>
      <c r="T50" s="52"/>
      <c r="U50" s="1"/>
      <c r="V50" s="53"/>
      <c r="W50" s="53"/>
      <c r="X50" s="53"/>
      <c r="Y50" s="53"/>
      <c r="Z50" s="51"/>
      <c r="AE50" s="8" t="s">
        <v>470</v>
      </c>
      <c r="AF50" s="403">
        <f t="shared" ref="AF50" si="53">100*AF46/AP46</f>
        <v>13.422904937652698</v>
      </c>
      <c r="AG50" s="403">
        <f t="shared" si="52"/>
        <v>21.868698230111264</v>
      </c>
      <c r="AH50" s="470">
        <f t="shared" si="52"/>
        <v>24.116462536165841</v>
      </c>
      <c r="AI50" s="470">
        <f t="shared" si="52"/>
        <v>21.392584656889593</v>
      </c>
    </row>
    <row r="51" spans="1:39">
      <c r="A51" s="1"/>
      <c r="K51" s="271" t="s">
        <v>690</v>
      </c>
      <c r="L51" s="272">
        <f>L45/G45</f>
        <v>1.4419765528724535</v>
      </c>
      <c r="M51" s="274">
        <f t="shared" ref="M51:O51" si="54">M45/H45</f>
        <v>1.255263349859471</v>
      </c>
      <c r="N51" s="274">
        <f t="shared" si="54"/>
        <v>1.4017272358337711</v>
      </c>
      <c r="O51" s="274">
        <f t="shared" si="54"/>
        <v>1.3684254177914155</v>
      </c>
      <c r="P51" s="346"/>
      <c r="Q51" s="31"/>
      <c r="R51" s="31"/>
      <c r="S51" s="31"/>
      <c r="T51" s="269"/>
      <c r="U51" s="1"/>
      <c r="V51" s="257"/>
      <c r="W51" s="257"/>
      <c r="X51" s="257"/>
      <c r="Y51" s="257"/>
      <c r="Z51" s="51"/>
      <c r="AA51" s="3" t="s">
        <v>104</v>
      </c>
      <c r="AB51" s="269"/>
      <c r="AC51" s="269"/>
      <c r="AD51" s="269"/>
      <c r="AI51" s="471">
        <f>(1-0.576)*0.371*0.241</f>
        <v>3.7910264000000006E-2</v>
      </c>
      <c r="AK51" t="s">
        <v>60</v>
      </c>
      <c r="AM51" s="95" t="s">
        <v>71</v>
      </c>
    </row>
    <row r="52" spans="1:39">
      <c r="A52" s="3" t="s">
        <v>433</v>
      </c>
      <c r="K52" s="271" t="s">
        <v>691</v>
      </c>
      <c r="L52" s="274">
        <f>L46/G46</f>
        <v>1.4504916640207712</v>
      </c>
      <c r="M52" s="274">
        <f t="shared" ref="M52" si="55">M46/H46</f>
        <v>1.3279304868135933</v>
      </c>
      <c r="N52" s="274">
        <f t="shared" ref="N52" si="56">N46/I46</f>
        <v>1.8155587829494357</v>
      </c>
      <c r="O52" s="274">
        <f t="shared" ref="O52" si="57">O46/J46</f>
        <v>1.5928158272502571</v>
      </c>
      <c r="P52" s="346"/>
      <c r="Q52" s="31"/>
      <c r="R52" s="31"/>
      <c r="S52" s="31"/>
      <c r="T52" s="52"/>
      <c r="U52" s="1"/>
      <c r="V52" s="53"/>
      <c r="W52" s="53"/>
      <c r="X52" s="53"/>
      <c r="Y52" s="53"/>
      <c r="Z52" s="51"/>
      <c r="AA52" s="1" t="s">
        <v>59</v>
      </c>
      <c r="AK52" t="s">
        <v>70</v>
      </c>
      <c r="AM52" s="95" t="s">
        <v>72</v>
      </c>
    </row>
    <row r="53" spans="1:39">
      <c r="A53" s="468" t="s">
        <v>636</v>
      </c>
      <c r="K53" s="271" t="s">
        <v>692</v>
      </c>
      <c r="L53" s="274">
        <f>(L46-L45)/(G46-G45)</f>
        <v>2.8571428571428306</v>
      </c>
      <c r="M53" s="274">
        <f t="shared" ref="M53:O53" si="58">(M46-M45)/(H46-H45)</f>
        <v>2.5714285714285658</v>
      </c>
      <c r="N53" s="274">
        <f t="shared" si="58"/>
        <v>2.3915027222249838</v>
      </c>
      <c r="O53" s="274">
        <f t="shared" si="58"/>
        <v>2.4069614784645501</v>
      </c>
      <c r="P53" s="346"/>
      <c r="Q53" s="331"/>
      <c r="R53" s="331"/>
      <c r="S53" s="331"/>
      <c r="T53" s="468"/>
      <c r="U53" s="1"/>
      <c r="V53" s="317"/>
      <c r="W53" s="317"/>
      <c r="X53" s="317"/>
      <c r="Y53" s="317"/>
      <c r="Z53" s="51"/>
      <c r="AA53" s="1"/>
      <c r="AB53" s="468"/>
      <c r="AC53" s="468"/>
      <c r="AD53" s="468"/>
      <c r="AF53" s="448"/>
      <c r="AG53" s="448"/>
      <c r="AH53" s="448"/>
      <c r="AI53" s="448"/>
      <c r="AJ53" s="274"/>
      <c r="AM53" s="95"/>
    </row>
    <row r="54" spans="1:39">
      <c r="A54" s="1" t="s">
        <v>357</v>
      </c>
      <c r="K54" s="31"/>
      <c r="L54" s="31"/>
      <c r="M54" s="31"/>
      <c r="N54" s="31"/>
      <c r="O54" s="274"/>
      <c r="P54" s="346"/>
      <c r="Q54" s="31"/>
      <c r="R54" s="31"/>
      <c r="S54" s="31"/>
      <c r="T54" s="42"/>
      <c r="U54" s="1"/>
      <c r="V54" s="49"/>
      <c r="W54" s="49"/>
      <c r="X54" s="49"/>
      <c r="Y54" s="49"/>
      <c r="Z54" s="51"/>
      <c r="AA54" s="1" t="s">
        <v>413</v>
      </c>
      <c r="AJ54" s="127" t="s">
        <v>264</v>
      </c>
      <c r="AK54" s="385">
        <f>(AP45+AQ45)/(G45+H45)</f>
        <v>288.04328394516392</v>
      </c>
      <c r="AM54" s="385">
        <f>AM45/AK54</f>
        <v>2.1517116367892921</v>
      </c>
    </row>
    <row r="55" spans="1:39">
      <c r="A55" s="1" t="s">
        <v>495</v>
      </c>
      <c r="P55" s="346"/>
      <c r="T55" s="42"/>
      <c r="U55" s="1"/>
      <c r="V55" s="49"/>
      <c r="W55" s="49"/>
      <c r="X55" s="49"/>
      <c r="Y55" s="49"/>
      <c r="Z55" s="51"/>
      <c r="AA55" s="1" t="s">
        <v>454</v>
      </c>
      <c r="AJ55" s="127" t="s">
        <v>265</v>
      </c>
      <c r="AK55" s="385">
        <f>(AP46+AQ46)/(G46+H46)</f>
        <v>283.69303379578167</v>
      </c>
      <c r="AM55" s="385">
        <f>AM46/AK55</f>
        <v>1.4499591825542704</v>
      </c>
    </row>
    <row r="56" spans="1:39">
      <c r="A56" s="3"/>
      <c r="B56" s="1" t="s">
        <v>682</v>
      </c>
      <c r="P56" s="346"/>
      <c r="T56" s="42"/>
      <c r="U56" s="1"/>
      <c r="V56" s="49"/>
      <c r="W56" s="49"/>
      <c r="X56" s="49"/>
      <c r="Y56" s="49"/>
      <c r="Z56" s="51"/>
      <c r="AA56" s="51"/>
      <c r="AB56" s="51"/>
    </row>
    <row r="57" spans="1:39">
      <c r="A57" s="1" t="s">
        <v>331</v>
      </c>
      <c r="Q57" s="142"/>
      <c r="R57" s="142"/>
      <c r="S57" s="142"/>
      <c r="T57" s="143"/>
      <c r="U57" s="139"/>
      <c r="V57" s="141">
        <v>19880544.116541695</v>
      </c>
      <c r="W57" s="141">
        <v>8526527.368562635</v>
      </c>
      <c r="X57" s="141">
        <v>38186840.583154976</v>
      </c>
      <c r="Y57" s="141">
        <v>66593912.068259306</v>
      </c>
      <c r="Z57" s="51"/>
      <c r="AA57" s="51"/>
      <c r="AB57" s="51"/>
    </row>
    <row r="58" spans="1:39">
      <c r="A58" s="3"/>
      <c r="B58" s="1" t="s">
        <v>493</v>
      </c>
      <c r="T58" s="42"/>
      <c r="U58" s="1"/>
      <c r="V58" s="49"/>
      <c r="W58" s="135" t="s">
        <v>342</v>
      </c>
      <c r="X58" s="49"/>
      <c r="Y58" s="49"/>
      <c r="Z58" s="51"/>
      <c r="AA58" s="51"/>
      <c r="AB58" s="51"/>
    </row>
    <row r="59" spans="1:39">
      <c r="S59" s="160"/>
      <c r="T59" s="42"/>
      <c r="U59" s="1"/>
      <c r="V59" s="49"/>
      <c r="W59" s="49">
        <v>2824095.2187264785</v>
      </c>
      <c r="X59" s="49"/>
      <c r="Y59" s="49"/>
      <c r="Z59" s="51"/>
      <c r="AA59" s="51"/>
      <c r="AB59" s="51"/>
      <c r="AM59" t="s">
        <v>463</v>
      </c>
    </row>
    <row r="60" spans="1:39">
      <c r="A60" s="139" t="s">
        <v>453</v>
      </c>
      <c r="B60" s="140"/>
      <c r="C60" s="140"/>
      <c r="D60" s="140"/>
      <c r="S60" s="160"/>
      <c r="T60" s="42"/>
      <c r="U60" s="1"/>
      <c r="V60" s="49"/>
      <c r="W60" s="49"/>
      <c r="X60" s="49"/>
      <c r="Y60" s="49"/>
      <c r="Z60" s="51"/>
      <c r="AA60" s="51"/>
      <c r="AB60" s="51"/>
    </row>
    <row r="61" spans="1:39">
      <c r="S61" s="160"/>
      <c r="T61" s="42"/>
      <c r="U61" s="1"/>
      <c r="V61" s="49"/>
      <c r="W61" s="49"/>
      <c r="X61" s="49"/>
      <c r="Y61" s="49"/>
      <c r="Z61" s="51"/>
    </row>
    <row r="62" spans="1:39">
      <c r="S62" s="160"/>
      <c r="T62" s="42"/>
      <c r="U62" s="1"/>
      <c r="V62" s="49"/>
      <c r="W62" s="49"/>
      <c r="X62" s="49"/>
      <c r="Y62" s="49"/>
      <c r="Z62" s="51"/>
    </row>
    <row r="63" spans="1:39">
      <c r="F63" s="270" t="s">
        <v>539</v>
      </c>
      <c r="G63" s="414">
        <f>100*(G16+SUM(G29:G32))/G45</f>
        <v>43.90112897152494</v>
      </c>
      <c r="S63" s="160"/>
      <c r="T63" s="42"/>
      <c r="U63" s="1"/>
      <c r="V63" s="49"/>
      <c r="W63" s="49"/>
      <c r="X63" s="49"/>
      <c r="Y63" s="49"/>
      <c r="Z63" s="51"/>
    </row>
    <row r="64" spans="1:39">
      <c r="F64" s="270" t="s">
        <v>624</v>
      </c>
      <c r="G64" s="414">
        <f>100*(SUM(G12:G15)+SUM(G25:G28))/G45</f>
        <v>11.016326021911855</v>
      </c>
      <c r="T64" s="42"/>
      <c r="U64" s="1"/>
      <c r="V64" s="49"/>
      <c r="W64" s="49"/>
      <c r="X64" s="49"/>
      <c r="Y64" s="49"/>
      <c r="Z64" s="51"/>
    </row>
    <row r="65" spans="6:26">
      <c r="F65" s="270" t="s">
        <v>625</v>
      </c>
      <c r="G65" s="414">
        <f>100*(G19+G20+G36+G37)/G45</f>
        <v>16.725408283070013</v>
      </c>
      <c r="T65" s="42"/>
      <c r="U65" s="1"/>
      <c r="V65" s="49"/>
      <c r="W65" s="49"/>
      <c r="X65" s="49"/>
      <c r="Y65" s="49"/>
      <c r="Z65" s="51"/>
    </row>
    <row r="66" spans="6:26">
      <c r="F66" s="270" t="s">
        <v>626</v>
      </c>
      <c r="G66" s="414">
        <f>100*(G17+G18+G21+G34+G35+G38)/G45</f>
        <v>28.357136723493191</v>
      </c>
      <c r="T66" s="42"/>
      <c r="U66" s="1"/>
      <c r="V66" s="49"/>
      <c r="W66" s="49"/>
      <c r="X66" s="49"/>
      <c r="Y66" s="49"/>
      <c r="Z66" s="51"/>
    </row>
    <row r="67" spans="6:26">
      <c r="T67" s="42"/>
      <c r="U67" s="1"/>
      <c r="V67" s="49"/>
      <c r="W67" s="49"/>
      <c r="X67" s="49"/>
      <c r="Y67" s="49"/>
      <c r="Z67" s="51"/>
    </row>
    <row r="68" spans="6:26">
      <c r="T68" s="42"/>
      <c r="U68" s="1"/>
      <c r="V68" s="49"/>
      <c r="W68" s="49"/>
      <c r="X68" s="49"/>
      <c r="Y68" s="49"/>
      <c r="Z68" s="51"/>
    </row>
    <row r="69" spans="6:26">
      <c r="T69" s="42"/>
      <c r="U69" s="1"/>
      <c r="V69" s="49"/>
      <c r="W69" s="49"/>
      <c r="X69" s="49"/>
      <c r="Y69" s="49"/>
      <c r="Z69" s="51"/>
    </row>
    <row r="70" spans="6:26">
      <c r="T70" s="42"/>
      <c r="U70" s="1"/>
      <c r="V70" s="49"/>
      <c r="W70" s="49"/>
      <c r="X70" s="49"/>
      <c r="Y70" s="49"/>
      <c r="Z70" s="51"/>
    </row>
    <row r="71" spans="6:26">
      <c r="T71" s="42"/>
      <c r="U71" s="1"/>
      <c r="V71" s="49"/>
      <c r="W71" s="49"/>
      <c r="X71" s="49"/>
      <c r="Y71" s="49"/>
      <c r="Z71" s="51"/>
    </row>
    <row r="72" spans="6:26">
      <c r="T72" s="42"/>
      <c r="U72" s="1"/>
      <c r="V72" s="49"/>
      <c r="W72" s="49"/>
      <c r="X72" s="49"/>
      <c r="Y72" s="49"/>
      <c r="Z72" s="51"/>
    </row>
    <row r="73" spans="6:26">
      <c r="T73" s="42"/>
      <c r="U73" s="1"/>
      <c r="V73" s="49"/>
      <c r="W73" s="49"/>
      <c r="X73" s="49"/>
      <c r="Y73" s="49"/>
      <c r="Z73" s="51"/>
    </row>
    <row r="74" spans="6:26">
      <c r="T74" s="42"/>
      <c r="U74" s="1"/>
      <c r="V74" s="49"/>
      <c r="W74" s="49"/>
      <c r="X74" s="49"/>
      <c r="Y74" s="49"/>
      <c r="Z74" s="51"/>
    </row>
    <row r="75" spans="6:26">
      <c r="T75" s="42"/>
      <c r="U75" s="1"/>
      <c r="V75" s="49"/>
      <c r="W75" s="49"/>
      <c r="X75" s="49"/>
      <c r="Y75" s="49"/>
      <c r="Z75" s="51"/>
    </row>
    <row r="76" spans="6:26">
      <c r="T76" s="42"/>
      <c r="U76" s="1"/>
      <c r="V76" s="49"/>
      <c r="W76" s="49"/>
      <c r="X76" s="49"/>
      <c r="Y76" s="49"/>
      <c r="Z76" s="51"/>
    </row>
    <row r="77" spans="6:26">
      <c r="T77" s="42"/>
      <c r="U77" s="1"/>
      <c r="V77" s="49"/>
      <c r="W77" s="49"/>
      <c r="X77" s="49"/>
      <c r="Y77" s="49"/>
      <c r="Z77" s="51"/>
    </row>
    <row r="78" spans="6:26">
      <c r="T78" s="42"/>
      <c r="U78" s="1"/>
      <c r="V78" s="49"/>
      <c r="W78" s="49"/>
      <c r="X78" s="49"/>
      <c r="Y78" s="49"/>
      <c r="Z78" s="51"/>
    </row>
    <row r="79" spans="6:26">
      <c r="T79" s="42"/>
      <c r="U79" s="1"/>
      <c r="V79" s="49"/>
      <c r="W79" s="49"/>
      <c r="X79" s="49"/>
      <c r="Y79" s="49"/>
      <c r="Z79" s="51"/>
    </row>
  </sheetData>
  <phoneticPr fontId="20" type="noConversion"/>
  <pageMargins left="0.75" right="0.75" top="1" bottom="1" header="0.5" footer="0.5"/>
  <pageSetup orientation="portrait" horizontalDpi="4294967292" verticalDpi="4294967292"/>
  <ignoredErrors>
    <ignoredError sqref="G24"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opLeftCell="N3" workbookViewId="0">
      <pane ySplit="3440" topLeftCell="A36" activePane="bottomLeft"/>
      <selection activeCell="Q8" sqref="Q8"/>
      <selection pane="bottomLeft" activeCell="W46" sqref="W46"/>
    </sheetView>
  </sheetViews>
  <sheetFormatPr baseColWidth="10" defaultRowHeight="15" x14ac:dyDescent="0"/>
  <cols>
    <col min="1" max="1" width="10.1640625" style="1" customWidth="1"/>
    <col min="2" max="2" width="12.5" style="83" customWidth="1"/>
    <col min="3" max="5" width="10.83203125" style="1"/>
    <col min="6" max="6" width="12.83203125" style="1" customWidth="1"/>
    <col min="7" max="7" width="12.33203125" style="217" customWidth="1"/>
    <col min="8" max="8" width="10.83203125" style="172"/>
    <col min="9" max="9" width="14.1640625" style="206" customWidth="1"/>
    <col min="10" max="10" width="4.83203125" style="172" customWidth="1"/>
    <col min="11" max="11" width="11.83203125" style="172" bestFit="1" customWidth="1"/>
    <col min="12" max="12" width="13.6640625" style="433" customWidth="1"/>
    <col min="13" max="13" width="4.83203125" style="217" customWidth="1"/>
    <col min="14" max="14" width="13.33203125" style="172" customWidth="1"/>
    <col min="15" max="15" width="13.83203125" style="206" customWidth="1"/>
    <col min="16" max="16" width="4.33203125" style="1" customWidth="1"/>
    <col min="17" max="17" width="12.6640625" style="212" customWidth="1"/>
    <col min="18" max="18" width="13" style="219" customWidth="1"/>
    <col min="19" max="19" width="12.83203125" style="1" customWidth="1"/>
    <col min="20" max="20" width="4.83203125" style="1" customWidth="1"/>
    <col min="21" max="21" width="13.6640625" style="1" customWidth="1"/>
    <col min="22" max="22" width="16.33203125" style="1" customWidth="1"/>
    <col min="23" max="23" width="12" style="1" customWidth="1"/>
    <col min="24" max="16384" width="10.83203125" style="1"/>
  </cols>
  <sheetData>
    <row r="1" spans="1:22" ht="17">
      <c r="A1" s="1" t="s">
        <v>652</v>
      </c>
      <c r="C1" s="34" t="s">
        <v>256</v>
      </c>
      <c r="F1" s="217"/>
    </row>
    <row r="2" spans="1:22" ht="17">
      <c r="A2" s="220">
        <v>40575</v>
      </c>
      <c r="C2" s="35" t="s">
        <v>492</v>
      </c>
      <c r="F2" s="217"/>
      <c r="R2" s="1"/>
      <c r="S2" s="157" t="s">
        <v>522</v>
      </c>
    </row>
    <row r="3" spans="1:22">
      <c r="A3" s="220"/>
      <c r="F3" s="217"/>
      <c r="R3" s="1"/>
      <c r="S3" s="157" t="s">
        <v>450</v>
      </c>
    </row>
    <row r="4" spans="1:22">
      <c r="A4" s="220"/>
      <c r="F4" s="282"/>
      <c r="G4" s="282"/>
      <c r="H4" s="224"/>
      <c r="I4" s="255"/>
      <c r="J4" s="224"/>
      <c r="K4" s="224"/>
      <c r="M4" s="282"/>
      <c r="N4" s="224"/>
      <c r="O4" s="255"/>
      <c r="Q4" s="223"/>
      <c r="R4" s="1"/>
      <c r="S4" s="157"/>
    </row>
    <row r="5" spans="1:22">
      <c r="B5" s="218"/>
      <c r="C5" s="43"/>
      <c r="K5" s="47" t="s">
        <v>518</v>
      </c>
      <c r="N5" s="209" t="s">
        <v>509</v>
      </c>
      <c r="R5" s="1"/>
    </row>
    <row r="6" spans="1:22">
      <c r="G6" s="211" t="s">
        <v>276</v>
      </c>
      <c r="H6" s="178" t="s">
        <v>605</v>
      </c>
      <c r="K6" s="47" t="s">
        <v>448</v>
      </c>
      <c r="N6" s="47" t="s">
        <v>449</v>
      </c>
      <c r="Q6" s="165" t="s">
        <v>131</v>
      </c>
      <c r="R6" s="1"/>
    </row>
    <row r="7" spans="1:22">
      <c r="A7" s="8"/>
      <c r="F7" s="293" t="s">
        <v>290</v>
      </c>
      <c r="G7" s="215" t="s">
        <v>294</v>
      </c>
      <c r="H7" s="149" t="s">
        <v>479</v>
      </c>
      <c r="I7" s="159" t="s">
        <v>391</v>
      </c>
      <c r="J7" s="1"/>
      <c r="K7" s="149" t="s">
        <v>479</v>
      </c>
      <c r="L7" s="434" t="s">
        <v>62</v>
      </c>
      <c r="M7" s="159"/>
      <c r="N7" s="210" t="s">
        <v>479</v>
      </c>
      <c r="O7" s="161" t="s">
        <v>62</v>
      </c>
      <c r="Q7" s="212" t="s">
        <v>694</v>
      </c>
      <c r="R7" s="1"/>
    </row>
    <row r="8" spans="1:22">
      <c r="A8" s="8"/>
      <c r="B8" s="54" t="s">
        <v>632</v>
      </c>
      <c r="C8" s="1" t="s">
        <v>480</v>
      </c>
      <c r="F8" s="294" t="s">
        <v>289</v>
      </c>
      <c r="G8" s="214" t="s">
        <v>211</v>
      </c>
      <c r="H8" s="194" t="s">
        <v>423</v>
      </c>
      <c r="I8" s="162" t="s">
        <v>319</v>
      </c>
      <c r="J8" s="1"/>
      <c r="K8" s="194" t="s">
        <v>423</v>
      </c>
      <c r="L8" s="435" t="s">
        <v>208</v>
      </c>
      <c r="M8" s="194"/>
      <c r="N8" s="194" t="s">
        <v>423</v>
      </c>
      <c r="O8" s="162" t="s">
        <v>212</v>
      </c>
      <c r="Q8" s="166" t="s">
        <v>520</v>
      </c>
      <c r="R8" s="8" t="s">
        <v>520</v>
      </c>
      <c r="S8" s="8" t="s">
        <v>296</v>
      </c>
    </row>
    <row r="9" spans="1:22" s="3" customFormat="1">
      <c r="A9" s="9" t="s">
        <v>291</v>
      </c>
      <c r="B9" s="175" t="s">
        <v>292</v>
      </c>
      <c r="C9" s="3" t="s">
        <v>293</v>
      </c>
      <c r="D9" s="3" t="s">
        <v>376</v>
      </c>
      <c r="F9" s="299" t="s">
        <v>686</v>
      </c>
      <c r="G9" s="299" t="s">
        <v>687</v>
      </c>
      <c r="H9" s="301" t="s">
        <v>687</v>
      </c>
      <c r="I9" s="290" t="s">
        <v>687</v>
      </c>
      <c r="J9" s="300"/>
      <c r="K9" s="301" t="s">
        <v>687</v>
      </c>
      <c r="L9" s="436" t="s">
        <v>687</v>
      </c>
      <c r="M9" s="299"/>
      <c r="N9" s="301" t="s">
        <v>599</v>
      </c>
      <c r="O9" s="290" t="s">
        <v>599</v>
      </c>
      <c r="P9" s="299"/>
      <c r="Q9" s="310" t="s">
        <v>588</v>
      </c>
      <c r="R9" s="9" t="s">
        <v>521</v>
      </c>
      <c r="S9" s="9" t="s">
        <v>519</v>
      </c>
    </row>
    <row r="10" spans="1:22">
      <c r="A10" s="8">
        <v>1</v>
      </c>
      <c r="B10" s="154" t="s">
        <v>511</v>
      </c>
      <c r="C10" s="1" t="s">
        <v>551</v>
      </c>
      <c r="D10" s="1" t="s">
        <v>552</v>
      </c>
      <c r="F10" s="309">
        <v>201.631472433412</v>
      </c>
      <c r="G10" s="214">
        <v>201.631472433412</v>
      </c>
      <c r="H10" s="46">
        <v>48.55</v>
      </c>
      <c r="I10" s="162">
        <v>9789.2079866421518</v>
      </c>
      <c r="J10" s="224"/>
      <c r="K10" s="432"/>
      <c r="L10" s="437"/>
      <c r="M10" s="214"/>
      <c r="N10" s="46">
        <f t="shared" ref="N10:N33" si="0">O10/G10</f>
        <v>48.55</v>
      </c>
      <c r="O10" s="162">
        <f t="shared" ref="O10:O33" si="1">I10+L10</f>
        <v>9789.2079866421518</v>
      </c>
      <c r="P10" s="214"/>
      <c r="Q10" s="166">
        <f>G10/G$36</f>
        <v>1.553763616782629E-3</v>
      </c>
      <c r="R10" s="279">
        <f>O10/O$36</f>
        <v>2.714393636280682E-4</v>
      </c>
      <c r="S10" s="280">
        <f>Q10*(Q10-R10)</f>
        <v>1.992428769469514E-6</v>
      </c>
    </row>
    <row r="11" spans="1:22">
      <c r="A11" s="8">
        <v>1</v>
      </c>
      <c r="B11" s="153" t="s">
        <v>460</v>
      </c>
      <c r="C11" s="1" t="s">
        <v>551</v>
      </c>
      <c r="D11" s="1" t="s">
        <v>552</v>
      </c>
      <c r="F11" s="309">
        <v>40.591306041131133</v>
      </c>
      <c r="G11" s="214">
        <v>40.591306041131133</v>
      </c>
      <c r="H11" s="46">
        <v>54.97</v>
      </c>
      <c r="I11" s="162">
        <v>2231.3040930809784</v>
      </c>
      <c r="J11" s="224"/>
      <c r="K11" s="432"/>
      <c r="L11" s="437">
        <v>0</v>
      </c>
      <c r="M11" s="214"/>
      <c r="N11" s="348">
        <f t="shared" si="0"/>
        <v>54.97</v>
      </c>
      <c r="O11" s="162">
        <f t="shared" si="1"/>
        <v>2231.3040930809784</v>
      </c>
      <c r="P11" s="214"/>
      <c r="Q11" s="166">
        <f t="shared" ref="Q11:Q33" si="2">(G11/G$36)+Q10</f>
        <v>1.8665585079930122E-3</v>
      </c>
      <c r="R11" s="279">
        <f>(O11/O$36)+R10</f>
        <v>3.3330992189111277E-4</v>
      </c>
      <c r="S11" s="291">
        <f t="shared" ref="S11:S33" si="3">(Q11-Q10)*(Q11-R11+Q10-R10)</f>
        <v>8.8069679995013414E-7</v>
      </c>
    </row>
    <row r="12" spans="1:22">
      <c r="A12" s="8">
        <v>1</v>
      </c>
      <c r="B12" s="154" t="s">
        <v>511</v>
      </c>
      <c r="C12" s="1" t="s">
        <v>609</v>
      </c>
      <c r="D12" s="1" t="s">
        <v>610</v>
      </c>
      <c r="F12" s="309">
        <v>32911.338985626855</v>
      </c>
      <c r="G12" s="214">
        <v>32911.338985626855</v>
      </c>
      <c r="H12" s="46">
        <v>55.625</v>
      </c>
      <c r="I12" s="162">
        <v>1830693.2310754939</v>
      </c>
      <c r="J12" s="224"/>
      <c r="K12" s="432">
        <v>0</v>
      </c>
      <c r="L12" s="437">
        <v>0</v>
      </c>
      <c r="M12" s="214"/>
      <c r="N12" s="348">
        <f t="shared" si="0"/>
        <v>55.625</v>
      </c>
      <c r="O12" s="162">
        <f t="shared" si="1"/>
        <v>1830693.2310754939</v>
      </c>
      <c r="P12" s="214"/>
      <c r="Q12" s="166">
        <f t="shared" si="2"/>
        <v>0.25547994771911592</v>
      </c>
      <c r="R12" s="279">
        <f t="shared" ref="R12:R33" si="4">(O12/O$36)+R11</f>
        <v>5.1095558136396151E-2</v>
      </c>
      <c r="S12" s="291">
        <f t="shared" si="3"/>
        <v>5.2223470114344542E-2</v>
      </c>
    </row>
    <row r="13" spans="1:22">
      <c r="A13" s="8">
        <v>1</v>
      </c>
      <c r="B13" s="153" t="s">
        <v>460</v>
      </c>
      <c r="C13" s="1" t="s">
        <v>609</v>
      </c>
      <c r="D13" s="1" t="s">
        <v>610</v>
      </c>
      <c r="F13" s="309">
        <v>700.99480761994664</v>
      </c>
      <c r="G13" s="214">
        <v>700.99480761994664</v>
      </c>
      <c r="H13" s="46">
        <v>62.682857142857003</v>
      </c>
      <c r="I13" s="162">
        <v>43940.357383925642</v>
      </c>
      <c r="J13" s="224"/>
      <c r="K13" s="432">
        <v>0</v>
      </c>
      <c r="L13" s="437">
        <v>0</v>
      </c>
      <c r="M13" s="214"/>
      <c r="N13" s="348">
        <f t="shared" si="0"/>
        <v>62.682857142857003</v>
      </c>
      <c r="O13" s="162">
        <f t="shared" si="1"/>
        <v>43940.357383925642</v>
      </c>
      <c r="P13" s="214"/>
      <c r="Q13" s="166">
        <f t="shared" si="2"/>
        <v>0.26088178412138247</v>
      </c>
      <c r="R13" s="279">
        <f t="shared" si="4"/>
        <v>5.2313955238813201E-2</v>
      </c>
      <c r="S13" s="291">
        <f t="shared" si="3"/>
        <v>2.2307003261025256E-3</v>
      </c>
    </row>
    <row r="14" spans="1:22">
      <c r="A14" s="8">
        <v>1</v>
      </c>
      <c r="B14" s="154" t="s">
        <v>511</v>
      </c>
      <c r="C14" s="1" t="s">
        <v>666</v>
      </c>
      <c r="D14" s="1" t="s">
        <v>578</v>
      </c>
      <c r="F14" s="309">
        <v>755.51977508935306</v>
      </c>
      <c r="G14" s="214">
        <v>755.51977508935306</v>
      </c>
      <c r="H14" s="46">
        <v>112.82318494448573</v>
      </c>
      <c r="I14" s="162">
        <v>85240.14731412234</v>
      </c>
      <c r="J14" s="224"/>
      <c r="K14" s="432">
        <v>8.9196198784047311</v>
      </c>
      <c r="L14" s="437">
        <v>6738.9492044148656</v>
      </c>
      <c r="M14" s="214"/>
      <c r="N14" s="348">
        <f t="shared" si="0"/>
        <v>121.74280482289045</v>
      </c>
      <c r="O14" s="162">
        <f t="shared" si="1"/>
        <v>91979.096518537204</v>
      </c>
      <c r="P14" s="214"/>
      <c r="Q14" s="166">
        <f t="shared" si="2"/>
        <v>0.26670378762176017</v>
      </c>
      <c r="R14" s="279">
        <f t="shared" si="4"/>
        <v>5.4864391133131185E-2</v>
      </c>
      <c r="S14" s="291">
        <f t="shared" si="3"/>
        <v>2.4476123376951943E-3</v>
      </c>
    </row>
    <row r="15" spans="1:22">
      <c r="A15" s="8">
        <v>1</v>
      </c>
      <c r="B15" s="154" t="s">
        <v>511</v>
      </c>
      <c r="C15" s="1" t="s">
        <v>664</v>
      </c>
      <c r="D15" s="1" t="s">
        <v>665</v>
      </c>
      <c r="F15" s="309">
        <v>20644.363654471883</v>
      </c>
      <c r="G15" s="214">
        <v>20644.363654471883</v>
      </c>
      <c r="H15" s="46">
        <v>111.34355725743856</v>
      </c>
      <c r="I15" s="162">
        <v>2298616.8866050737</v>
      </c>
      <c r="J15" s="224"/>
      <c r="K15" s="432">
        <v>20.870988750313149</v>
      </c>
      <c r="L15" s="437">
        <v>430868.28158985631</v>
      </c>
      <c r="M15" s="214"/>
      <c r="N15" s="348">
        <f t="shared" si="0"/>
        <v>132.21454600775172</v>
      </c>
      <c r="O15" s="162">
        <f t="shared" si="1"/>
        <v>2729485.1681949301</v>
      </c>
      <c r="P15" s="214"/>
      <c r="Q15" s="166">
        <f t="shared" si="2"/>
        <v>0.42578838265461749</v>
      </c>
      <c r="R15" s="279">
        <f t="shared" si="4"/>
        <v>0.13054872822128605</v>
      </c>
      <c r="S15" s="291">
        <f t="shared" si="3"/>
        <v>8.066846546556572E-2</v>
      </c>
      <c r="U15" s="50">
        <f>(0.4-Q14)/(Q15-Q14)</f>
        <v>0.83789516106640538</v>
      </c>
      <c r="V15" s="50">
        <f>100*(R14+(U15*(R15-R14)))</f>
        <v>11.827993094781482</v>
      </c>
    </row>
    <row r="16" spans="1:22">
      <c r="A16" s="8">
        <v>1</v>
      </c>
      <c r="B16" s="153" t="s">
        <v>460</v>
      </c>
      <c r="C16" s="1" t="s">
        <v>666</v>
      </c>
      <c r="D16" s="1" t="s">
        <v>578</v>
      </c>
      <c r="F16" s="309">
        <v>69.082778663239068</v>
      </c>
      <c r="G16" s="214">
        <v>69.082778663239068</v>
      </c>
      <c r="H16" s="46">
        <v>125.36571428571429</v>
      </c>
      <c r="I16" s="162">
        <v>8660.611891958868</v>
      </c>
      <c r="J16" s="224"/>
      <c r="K16" s="432">
        <v>9.5142015359999998</v>
      </c>
      <c r="L16" s="437">
        <v>657.26747886893713</v>
      </c>
      <c r="M16" s="214"/>
      <c r="N16" s="348">
        <f t="shared" si="0"/>
        <v>134.87991582171426</v>
      </c>
      <c r="O16" s="162">
        <f t="shared" si="1"/>
        <v>9317.8793708278045</v>
      </c>
      <c r="P16" s="214"/>
      <c r="Q16" s="166">
        <f t="shared" si="2"/>
        <v>0.42632073163138073</v>
      </c>
      <c r="R16" s="279">
        <f t="shared" si="4"/>
        <v>0.1308070983826139</v>
      </c>
      <c r="S16" s="291">
        <f t="shared" si="3"/>
        <v>3.1448690821708595E-4</v>
      </c>
      <c r="U16"/>
      <c r="V16" s="50">
        <f>100-V15</f>
        <v>88.172006905218524</v>
      </c>
    </row>
    <row r="17" spans="1:22">
      <c r="A17" s="8">
        <v>1</v>
      </c>
      <c r="B17" s="153" t="s">
        <v>460</v>
      </c>
      <c r="C17" s="1" t="s">
        <v>664</v>
      </c>
      <c r="D17" s="1" t="s">
        <v>665</v>
      </c>
      <c r="F17" s="309">
        <v>104.9526829691517</v>
      </c>
      <c r="G17" s="214">
        <v>104.9526829691517</v>
      </c>
      <c r="H17" s="46">
        <v>125.36571428571428</v>
      </c>
      <c r="I17" s="162">
        <v>13157.468066629823</v>
      </c>
      <c r="J17" s="224"/>
      <c r="K17" s="432">
        <v>15.3767412</v>
      </c>
      <c r="L17" s="437">
        <v>1613.8302442622933</v>
      </c>
      <c r="M17" s="214"/>
      <c r="N17" s="348">
        <f t="shared" si="0"/>
        <v>140.74245548571429</v>
      </c>
      <c r="O17" s="162">
        <f t="shared" si="1"/>
        <v>14771.298310892116</v>
      </c>
      <c r="P17" s="214"/>
      <c r="Q17" s="166">
        <f t="shared" si="2"/>
        <v>0.42712949257684796</v>
      </c>
      <c r="R17" s="279">
        <f t="shared" si="4"/>
        <v>0.13121668328661634</v>
      </c>
      <c r="S17" s="291">
        <f t="shared" si="3"/>
        <v>4.7832260884215713E-4</v>
      </c>
      <c r="U17" s="50">
        <f>(SUM(O10:O14)+(U15*O15))/(SUM(G10:G14)+(U15*G15))</f>
        <v>82.177405282780526</v>
      </c>
      <c r="V17" s="50"/>
    </row>
    <row r="18" spans="1:22">
      <c r="A18" s="8">
        <v>1</v>
      </c>
      <c r="B18" s="154" t="s">
        <v>511</v>
      </c>
      <c r="C18" s="1" t="s">
        <v>185</v>
      </c>
      <c r="D18" s="1" t="s">
        <v>659</v>
      </c>
      <c r="F18" s="309">
        <v>2230.9414443258765</v>
      </c>
      <c r="G18" s="317">
        <v>780.82950551405679</v>
      </c>
      <c r="H18" s="46">
        <v>168.71165304428573</v>
      </c>
      <c r="I18" s="162">
        <v>131735.03662102873</v>
      </c>
      <c r="J18" s="224"/>
      <c r="K18" s="348"/>
      <c r="L18" s="435"/>
      <c r="M18" s="214"/>
      <c r="N18" s="348">
        <f t="shared" si="0"/>
        <v>168.71165304428573</v>
      </c>
      <c r="O18" s="162">
        <f t="shared" si="1"/>
        <v>131735.03662102873</v>
      </c>
      <c r="P18" s="214"/>
      <c r="Q18" s="166">
        <f t="shared" si="2"/>
        <v>0.43314653179168966</v>
      </c>
      <c r="R18" s="279">
        <f t="shared" si="4"/>
        <v>0.1348694889637177</v>
      </c>
      <c r="S18" s="291">
        <f t="shared" si="3"/>
        <v>3.575263641256223E-3</v>
      </c>
    </row>
    <row r="19" spans="1:22">
      <c r="A19" s="8">
        <v>1</v>
      </c>
      <c r="B19" s="153" t="s">
        <v>460</v>
      </c>
      <c r="C19" s="1" t="s">
        <v>459</v>
      </c>
      <c r="D19" s="1" t="s">
        <v>550</v>
      </c>
      <c r="F19" s="309">
        <v>368.86140125515885</v>
      </c>
      <c r="G19" s="214">
        <v>164</v>
      </c>
      <c r="H19" s="46">
        <v>310.09047698075614</v>
      </c>
      <c r="I19" s="162">
        <v>50854.838224844003</v>
      </c>
      <c r="J19" s="224"/>
      <c r="K19" s="432">
        <v>12.264956329279965</v>
      </c>
      <c r="L19" s="437">
        <v>2011.4528380019142</v>
      </c>
      <c r="M19" s="214"/>
      <c r="N19" s="348">
        <f t="shared" si="0"/>
        <v>322.35543331003606</v>
      </c>
      <c r="O19" s="162">
        <f t="shared" si="1"/>
        <v>52866.291062845914</v>
      </c>
      <c r="P19" s="214"/>
      <c r="Q19" s="166">
        <f t="shared" si="2"/>
        <v>0.43441030887012422</v>
      </c>
      <c r="R19" s="279">
        <f t="shared" si="4"/>
        <v>0.13633538818897231</v>
      </c>
      <c r="S19" s="291">
        <f t="shared" si="3"/>
        <v>7.5365594216227278E-4</v>
      </c>
    </row>
    <row r="20" spans="1:22">
      <c r="A20" s="8">
        <v>1</v>
      </c>
      <c r="B20" s="154" t="s">
        <v>511</v>
      </c>
      <c r="C20" s="1" t="s">
        <v>459</v>
      </c>
      <c r="D20" s="1" t="s">
        <v>550</v>
      </c>
      <c r="F20" s="309">
        <v>4523.4726659082571</v>
      </c>
      <c r="G20" s="214">
        <v>2559</v>
      </c>
      <c r="H20" s="46">
        <v>307.99687184214349</v>
      </c>
      <c r="I20" s="162">
        <v>788163.99504404515</v>
      </c>
      <c r="J20" s="224"/>
      <c r="K20" s="432">
        <v>25.2159645257811</v>
      </c>
      <c r="L20" s="437">
        <v>64527.653221473833</v>
      </c>
      <c r="M20" s="214"/>
      <c r="N20" s="348">
        <f t="shared" si="0"/>
        <v>333.21283636792458</v>
      </c>
      <c r="O20" s="162">
        <f t="shared" si="1"/>
        <v>852691.64826551895</v>
      </c>
      <c r="P20" s="214"/>
      <c r="Q20" s="166">
        <f t="shared" si="2"/>
        <v>0.4541298548683802</v>
      </c>
      <c r="R20" s="279">
        <f t="shared" si="4"/>
        <v>0.15997918845269041</v>
      </c>
      <c r="S20" s="291">
        <f t="shared" si="3"/>
        <v>1.1678419706100325E-2</v>
      </c>
    </row>
    <row r="21" spans="1:22">
      <c r="A21" s="8">
        <v>1</v>
      </c>
      <c r="B21" s="154" t="s">
        <v>511</v>
      </c>
      <c r="C21" s="1" t="s">
        <v>634</v>
      </c>
      <c r="D21" s="1" t="s">
        <v>543</v>
      </c>
      <c r="F21" s="309">
        <v>40033.928439865202</v>
      </c>
      <c r="G21" s="214">
        <v>22647.826226456313</v>
      </c>
      <c r="H21" s="46">
        <v>356.43887176112037</v>
      </c>
      <c r="I21" s="162">
        <v>8072565.6280000005</v>
      </c>
      <c r="J21" s="224"/>
      <c r="K21" s="432">
        <v>14.097666885478191</v>
      </c>
      <c r="L21" s="437">
        <v>319281.50982077763</v>
      </c>
      <c r="M21" s="214"/>
      <c r="N21" s="348">
        <f t="shared" si="0"/>
        <v>370.53653864659856</v>
      </c>
      <c r="O21" s="162">
        <f t="shared" si="1"/>
        <v>8391847.1378207784</v>
      </c>
      <c r="P21" s="214"/>
      <c r="Q21" s="166">
        <f t="shared" si="2"/>
        <v>0.62865304792547794</v>
      </c>
      <c r="R21" s="279">
        <f t="shared" si="4"/>
        <v>0.39267193028250669</v>
      </c>
      <c r="S21" s="291">
        <f t="shared" si="3"/>
        <v>9.2520291694973347E-2</v>
      </c>
    </row>
    <row r="22" spans="1:22">
      <c r="A22" s="8">
        <v>1</v>
      </c>
      <c r="B22" s="154" t="s">
        <v>511</v>
      </c>
      <c r="C22" s="1" t="s">
        <v>554</v>
      </c>
      <c r="D22" s="1" t="s">
        <v>555</v>
      </c>
      <c r="F22" s="309">
        <v>11532.292173655907</v>
      </c>
      <c r="G22" s="214">
        <v>6524</v>
      </c>
      <c r="H22" s="46">
        <v>336.96487184214345</v>
      </c>
      <c r="I22" s="162">
        <v>2198358.8238981441</v>
      </c>
      <c r="J22" s="224"/>
      <c r="K22" s="432">
        <v>39.794560065989508</v>
      </c>
      <c r="L22" s="437">
        <v>259619.70987051554</v>
      </c>
      <c r="M22" s="214"/>
      <c r="N22" s="348">
        <f t="shared" si="0"/>
        <v>376.75943190813297</v>
      </c>
      <c r="O22" s="162">
        <f t="shared" si="1"/>
        <v>2457978.5337686595</v>
      </c>
      <c r="P22" s="214"/>
      <c r="Q22" s="166">
        <f t="shared" si="2"/>
        <v>0.67892671658222747</v>
      </c>
      <c r="R22" s="279">
        <f t="shared" si="4"/>
        <v>0.46082781479614998</v>
      </c>
      <c r="S22" s="291">
        <f t="shared" si="3"/>
        <v>2.2828268440426389E-2</v>
      </c>
    </row>
    <row r="23" spans="1:22">
      <c r="A23" s="8">
        <v>1</v>
      </c>
      <c r="B23" s="153" t="s">
        <v>460</v>
      </c>
      <c r="C23" s="1" t="s">
        <v>566</v>
      </c>
      <c r="D23" s="1" t="s">
        <v>579</v>
      </c>
      <c r="F23" s="309">
        <v>18.025714003403166</v>
      </c>
      <c r="G23" s="214">
        <v>8.0144387200686378</v>
      </c>
      <c r="H23" s="46">
        <v>355.09402585293662</v>
      </c>
      <c r="I23" s="162">
        <v>2845.8793100608291</v>
      </c>
      <c r="J23" s="224"/>
      <c r="K23" s="432">
        <v>26.873229935943062</v>
      </c>
      <c r="L23" s="437">
        <v>215.37385453192971</v>
      </c>
      <c r="M23" s="214"/>
      <c r="N23" s="348">
        <f t="shared" si="0"/>
        <v>381.9672557888797</v>
      </c>
      <c r="O23" s="162">
        <f t="shared" si="1"/>
        <v>3061.2531645927588</v>
      </c>
      <c r="P23" s="214"/>
      <c r="Q23" s="166">
        <f t="shared" si="2"/>
        <v>0.67898847550875763</v>
      </c>
      <c r="R23" s="279">
        <f t="shared" si="4"/>
        <v>0.46091269853874034</v>
      </c>
      <c r="S23" s="291">
        <f t="shared" si="3"/>
        <v>2.6937679939610847E-5</v>
      </c>
    </row>
    <row r="24" spans="1:22">
      <c r="A24" s="8">
        <v>1</v>
      </c>
      <c r="B24" s="153" t="s">
        <v>460</v>
      </c>
      <c r="C24" s="1" t="s">
        <v>554</v>
      </c>
      <c r="D24" s="1" t="s">
        <v>555</v>
      </c>
      <c r="F24" s="309">
        <v>614.01928379669744</v>
      </c>
      <c r="G24" s="214">
        <v>273</v>
      </c>
      <c r="H24" s="46">
        <v>360.1614293617086</v>
      </c>
      <c r="I24" s="162">
        <v>98324.07021574644</v>
      </c>
      <c r="J24" s="224"/>
      <c r="K24" s="432">
        <v>43.028828716563922</v>
      </c>
      <c r="L24" s="437">
        <v>11746.870239621951</v>
      </c>
      <c r="M24" s="214"/>
      <c r="N24" s="348">
        <f t="shared" si="0"/>
        <v>403.19025807827245</v>
      </c>
      <c r="O24" s="162">
        <f t="shared" si="1"/>
        <v>110070.94045536839</v>
      </c>
      <c r="P24" s="214"/>
      <c r="Q24" s="166">
        <f t="shared" si="2"/>
        <v>0.68109220198688336</v>
      </c>
      <c r="R24" s="279">
        <f t="shared" si="4"/>
        <v>0.46396479285238834</v>
      </c>
      <c r="S24" s="291">
        <f t="shared" si="3"/>
        <v>9.1554846597274387E-4</v>
      </c>
      <c r="U24"/>
      <c r="V24" s="50">
        <f>100-V23</f>
        <v>100</v>
      </c>
    </row>
    <row r="25" spans="1:22">
      <c r="A25" s="8">
        <v>1</v>
      </c>
      <c r="B25" s="154" t="s">
        <v>511</v>
      </c>
      <c r="C25" s="1" t="s">
        <v>633</v>
      </c>
      <c r="D25" s="1" t="s">
        <v>544</v>
      </c>
      <c r="F25" s="309">
        <v>40033.928439865202</v>
      </c>
      <c r="G25" s="214">
        <v>22647.826226456313</v>
      </c>
      <c r="H25" s="46">
        <v>356.43887176112037</v>
      </c>
      <c r="I25" s="162">
        <v>8072565.6280000005</v>
      </c>
      <c r="J25" s="224"/>
      <c r="K25" s="432">
        <v>62.854405086563681</v>
      </c>
      <c r="L25" s="437">
        <v>1423515.6439677859</v>
      </c>
      <c r="M25" s="214"/>
      <c r="N25" s="348">
        <f t="shared" si="0"/>
        <v>419.29327684768407</v>
      </c>
      <c r="O25" s="162">
        <f t="shared" si="1"/>
        <v>9496081.2719677873</v>
      </c>
      <c r="P25" s="214"/>
      <c r="Q25" s="166">
        <f t="shared" si="2"/>
        <v>0.8556153950439811</v>
      </c>
      <c r="R25" s="279">
        <f t="shared" si="4"/>
        <v>0.7272762130347592</v>
      </c>
      <c r="S25" s="291">
        <f t="shared" si="3"/>
        <v>6.0291932580952355E-2</v>
      </c>
      <c r="U25" s="50">
        <f>(0.8-Q24)/(Q25-Q24)</f>
        <v>0.6813294893946521</v>
      </c>
      <c r="V25" s="50">
        <f>100*(R24+(U25*(R25-R24)))</f>
        <v>64.33666283170237</v>
      </c>
    </row>
    <row r="26" spans="1:22">
      <c r="A26" s="8">
        <v>1</v>
      </c>
      <c r="B26" s="154" t="s">
        <v>511</v>
      </c>
      <c r="C26" s="1" t="s">
        <v>565</v>
      </c>
      <c r="D26" s="1" t="s">
        <v>483</v>
      </c>
      <c r="F26" s="309">
        <v>6435.074252197548</v>
      </c>
      <c r="G26" s="214">
        <v>3640.4232384296024</v>
      </c>
      <c r="H26" s="46">
        <v>388.37487184214348</v>
      </c>
      <c r="I26" s="162">
        <v>1413848.9086762578</v>
      </c>
      <c r="J26" s="224"/>
      <c r="K26" s="432">
        <v>39.794560065989508</v>
      </c>
      <c r="L26" s="437">
        <v>144869.04122731087</v>
      </c>
      <c r="M26" s="214"/>
      <c r="N26" s="348">
        <f t="shared" si="0"/>
        <v>428.16943190813299</v>
      </c>
      <c r="O26" s="162">
        <f t="shared" si="1"/>
        <v>1558717.9499035687</v>
      </c>
      <c r="P26" s="214"/>
      <c r="Q26" s="166">
        <f t="shared" si="2"/>
        <v>0.88366834287646745</v>
      </c>
      <c r="R26" s="279">
        <f t="shared" si="4"/>
        <v>0.77049701383650016</v>
      </c>
      <c r="S26" s="291">
        <f t="shared" si="3"/>
        <v>6.7750817674600231E-3</v>
      </c>
      <c r="U26"/>
      <c r="V26" s="50">
        <f>100-V25</f>
        <v>35.66333716829763</v>
      </c>
    </row>
    <row r="27" spans="1:22">
      <c r="A27" s="8">
        <v>1</v>
      </c>
      <c r="B27" s="153" t="s">
        <v>460</v>
      </c>
      <c r="C27" s="1" t="s">
        <v>565</v>
      </c>
      <c r="D27" s="1" t="s">
        <v>483</v>
      </c>
      <c r="F27" s="309">
        <v>444.94065516791829</v>
      </c>
      <c r="G27" s="214">
        <v>197.82570688946015</v>
      </c>
      <c r="H27" s="46">
        <v>425.10254047281961</v>
      </c>
      <c r="I27" s="162">
        <v>84096.210569540883</v>
      </c>
      <c r="J27" s="224"/>
      <c r="K27" s="432">
        <v>43.028828716563922</v>
      </c>
      <c r="L27" s="437">
        <v>8512.2084574797609</v>
      </c>
      <c r="M27" s="214"/>
      <c r="N27" s="348">
        <f t="shared" si="0"/>
        <v>468.13136918938352</v>
      </c>
      <c r="O27" s="162">
        <f t="shared" si="1"/>
        <v>92608.419027020645</v>
      </c>
      <c r="P27" s="214"/>
      <c r="Q27" s="166">
        <f t="shared" si="2"/>
        <v>0.8851927794245894</v>
      </c>
      <c r="R27" s="279">
        <f t="shared" si="4"/>
        <v>0.77306489985563442</v>
      </c>
      <c r="S27" s="291">
        <f t="shared" si="3"/>
        <v>3.4345434786639366E-4</v>
      </c>
      <c r="U27" s="50">
        <f>(SUM(O26:O$33)+((1-U25)*O25))/(SUM(G26:G$33)+((1-U25)*G25))</f>
        <v>495.55668298600557</v>
      </c>
      <c r="V27" s="50"/>
    </row>
    <row r="28" spans="1:22">
      <c r="A28" s="8">
        <v>1</v>
      </c>
      <c r="B28" s="154" t="s">
        <v>511</v>
      </c>
      <c r="C28" s="1" t="s">
        <v>612</v>
      </c>
      <c r="D28" s="1" t="s">
        <v>645</v>
      </c>
      <c r="F28" s="309">
        <v>18015.267797939337</v>
      </c>
      <c r="G28" s="214">
        <v>10191.521801905341</v>
      </c>
      <c r="H28" s="46">
        <v>356.43887176112037</v>
      </c>
      <c r="I28" s="162">
        <v>3632654.5326</v>
      </c>
      <c r="J28" s="224"/>
      <c r="K28" s="432">
        <v>129.82143694461701</v>
      </c>
      <c r="L28" s="437">
        <v>1323078.0049757436</v>
      </c>
      <c r="M28" s="214"/>
      <c r="N28" s="348">
        <f t="shared" si="0"/>
        <v>486.26030870573737</v>
      </c>
      <c r="O28" s="162">
        <f t="shared" si="1"/>
        <v>4955732.5375757441</v>
      </c>
      <c r="P28" s="214"/>
      <c r="Q28" s="166">
        <f t="shared" si="2"/>
        <v>0.96372821630028338</v>
      </c>
      <c r="R28" s="279">
        <f t="shared" si="4"/>
        <v>0.91047958020015629</v>
      </c>
      <c r="S28" s="291">
        <f t="shared" si="3"/>
        <v>1.298791690705141E-2</v>
      </c>
      <c r="U28" s="50">
        <f>(0.9-Q27)/(Q28-Q27)</f>
        <v>0.18854190114008676</v>
      </c>
      <c r="V28" s="50">
        <f>100*(R27+(U28*(R28-R27)))</f>
        <v>79.897332493234785</v>
      </c>
    </row>
    <row r="29" spans="1:22">
      <c r="A29" s="8">
        <v>1</v>
      </c>
      <c r="B29" s="154" t="s">
        <v>511</v>
      </c>
      <c r="C29" s="1" t="s">
        <v>187</v>
      </c>
      <c r="D29" s="1" t="s">
        <v>478</v>
      </c>
      <c r="F29" s="309">
        <v>4525.4113761936505</v>
      </c>
      <c r="G29" s="214">
        <v>2560.0967590580822</v>
      </c>
      <c r="H29" s="46">
        <v>391.54184256500628</v>
      </c>
      <c r="I29" s="162">
        <v>1002385.0021863024</v>
      </c>
      <c r="J29" s="224"/>
      <c r="K29" s="432">
        <v>132.64103205082475</v>
      </c>
      <c r="L29" s="437">
        <v>339573.87627143564</v>
      </c>
      <c r="M29" s="214"/>
      <c r="N29" s="348">
        <f t="shared" si="0"/>
        <v>524.182874615831</v>
      </c>
      <c r="O29" s="162">
        <f t="shared" si="1"/>
        <v>1341958.8784577381</v>
      </c>
      <c r="P29" s="214"/>
      <c r="Q29" s="166">
        <f t="shared" si="2"/>
        <v>0.98345621387755255</v>
      </c>
      <c r="R29" s="279">
        <f t="shared" si="4"/>
        <v>0.94768999236839868</v>
      </c>
      <c r="S29" s="291">
        <f t="shared" si="3"/>
        <v>1.7560848952568554E-3</v>
      </c>
      <c r="U29"/>
      <c r="V29" s="50">
        <f>100-V28</f>
        <v>20.102667506765215</v>
      </c>
    </row>
    <row r="30" spans="1:22">
      <c r="A30" s="8">
        <v>1</v>
      </c>
      <c r="B30" s="153" t="s">
        <v>460</v>
      </c>
      <c r="C30" s="1" t="s">
        <v>186</v>
      </c>
      <c r="D30" s="1" t="s">
        <v>478</v>
      </c>
      <c r="F30" s="309">
        <v>911.35096327372412</v>
      </c>
      <c r="G30" s="214">
        <v>405.1970671593831</v>
      </c>
      <c r="H30" s="46">
        <v>414.68568164609638</v>
      </c>
      <c r="I30" s="162">
        <v>168029.42199598788</v>
      </c>
      <c r="J30" s="224"/>
      <c r="K30" s="432">
        <v>116.7301793535444</v>
      </c>
      <c r="L30" s="437">
        <v>47298.726323044968</v>
      </c>
      <c r="M30" s="214"/>
      <c r="N30" s="348">
        <f t="shared" si="0"/>
        <v>531.41586099964081</v>
      </c>
      <c r="O30" s="162">
        <f t="shared" si="1"/>
        <v>215328.14831903286</v>
      </c>
      <c r="P30" s="214"/>
      <c r="Q30" s="166">
        <f t="shared" si="2"/>
        <v>0.98657864537587525</v>
      </c>
      <c r="R30" s="279">
        <f t="shared" si="4"/>
        <v>0.95366070375083989</v>
      </c>
      <c r="S30" s="291">
        <f t="shared" si="3"/>
        <v>2.1446159440612742E-4</v>
      </c>
      <c r="U30" s="50">
        <f>(SUM(O29:O$33)+((1-U28)*O28))/(SUM(G29:G$33)+((1-U28)*G28))</f>
        <v>558.66960412659864</v>
      </c>
      <c r="V30" s="50"/>
    </row>
    <row r="31" spans="1:22">
      <c r="A31" s="8">
        <v>1</v>
      </c>
      <c r="B31" s="154" t="s">
        <v>511</v>
      </c>
      <c r="C31" s="1" t="s">
        <v>611</v>
      </c>
      <c r="D31" s="1" t="s">
        <v>531</v>
      </c>
      <c r="F31" s="309">
        <v>2001.6964219932599</v>
      </c>
      <c r="G31" s="214">
        <v>1132.3913113228157</v>
      </c>
      <c r="H31" s="46">
        <v>356.43887176112037</v>
      </c>
      <c r="I31" s="162">
        <v>403628.28140000004</v>
      </c>
      <c r="J31" s="224"/>
      <c r="K31" s="432">
        <v>312.37850720257956</v>
      </c>
      <c r="L31" s="437">
        <v>353734.70740019268</v>
      </c>
      <c r="M31" s="214"/>
      <c r="N31" s="348">
        <f t="shared" si="0"/>
        <v>668.81737896369998</v>
      </c>
      <c r="O31" s="162">
        <f t="shared" si="1"/>
        <v>757362.98880019272</v>
      </c>
      <c r="P31" s="214"/>
      <c r="Q31" s="166">
        <f t="shared" si="2"/>
        <v>0.99530480502873009</v>
      </c>
      <c r="R31" s="279">
        <f t="shared" si="4"/>
        <v>0.97466119000017659</v>
      </c>
      <c r="S31" s="291">
        <f t="shared" si="3"/>
        <v>4.6738669461464567E-4</v>
      </c>
      <c r="U31" s="50">
        <f>(0.99-Q30)/(Q31-Q30)</f>
        <v>0.39208022317187541</v>
      </c>
      <c r="V31" s="50">
        <f>100*(R30+(U31*(R31-R30)))</f>
        <v>96.189457908619772</v>
      </c>
    </row>
    <row r="32" spans="1:22">
      <c r="A32" s="8">
        <v>1</v>
      </c>
      <c r="B32" s="154" t="s">
        <v>511</v>
      </c>
      <c r="C32" s="1" t="s">
        <v>667</v>
      </c>
      <c r="D32" s="1" t="s">
        <v>205</v>
      </c>
      <c r="F32" s="309">
        <v>947.87137507989212</v>
      </c>
      <c r="G32" s="334">
        <v>536.22582205709273</v>
      </c>
      <c r="H32" s="46">
        <v>1199.650705175477</v>
      </c>
      <c r="I32" s="162">
        <v>643283.6855640912</v>
      </c>
      <c r="J32" s="224"/>
      <c r="K32" s="432">
        <v>147.89824143553011</v>
      </c>
      <c r="L32" s="437">
        <v>79306.856094565504</v>
      </c>
      <c r="M32" s="214"/>
      <c r="N32" s="348">
        <f t="shared" si="0"/>
        <v>1347.5489466110071</v>
      </c>
      <c r="O32" s="162">
        <f t="shared" si="1"/>
        <v>722590.54165865667</v>
      </c>
      <c r="P32" s="214"/>
      <c r="Q32" s="166">
        <f t="shared" si="2"/>
        <v>0.99943693858226956</v>
      </c>
      <c r="R32" s="279">
        <f t="shared" si="4"/>
        <v>0.99469749090001736</v>
      </c>
      <c r="S32" s="291">
        <f t="shared" si="3"/>
        <v>1.048862051189169E-4</v>
      </c>
      <c r="U32"/>
      <c r="V32" s="50">
        <f>100-V31</f>
        <v>3.8105420913802277</v>
      </c>
    </row>
    <row r="33" spans="1:22">
      <c r="A33" s="8">
        <v>1</v>
      </c>
      <c r="B33" s="153" t="s">
        <v>460</v>
      </c>
      <c r="C33" s="1" t="s">
        <v>667</v>
      </c>
      <c r="D33" s="1" t="s">
        <v>205</v>
      </c>
      <c r="F33" s="309">
        <v>164.34197698378634</v>
      </c>
      <c r="G33" s="334">
        <v>73.068323586118268</v>
      </c>
      <c r="H33" s="46">
        <v>2301.5880960283748</v>
      </c>
      <c r="I33" s="162">
        <v>168173.18376255914</v>
      </c>
      <c r="J33" s="224"/>
      <c r="K33" s="432">
        <v>315.55221315517986</v>
      </c>
      <c r="L33" s="437">
        <v>23056.871219138447</v>
      </c>
      <c r="M33" s="214"/>
      <c r="N33" s="348">
        <f t="shared" si="0"/>
        <v>2617.1403091835546</v>
      </c>
      <c r="O33" s="162">
        <f t="shared" si="1"/>
        <v>191230.05498169758</v>
      </c>
      <c r="P33" s="214"/>
      <c r="Q33" s="166">
        <f t="shared" si="2"/>
        <v>0.99999999999999989</v>
      </c>
      <c r="R33" s="279">
        <f t="shared" si="4"/>
        <v>1</v>
      </c>
      <c r="S33" s="291">
        <f t="shared" si="3"/>
        <v>2.6686001312275735E-6</v>
      </c>
      <c r="U33" s="50">
        <f>(SUM(O32:O$33)+((1-U31)*O31))/(SUM(G32:G$33)+((1-U31)*G31))</f>
        <v>1058.9808745445005</v>
      </c>
      <c r="V33" s="50"/>
    </row>
    <row r="34" spans="1:22">
      <c r="P34" s="214"/>
      <c r="Q34" s="166"/>
      <c r="R34" s="8"/>
      <c r="S34" s="8"/>
      <c r="U34" s="50"/>
      <c r="V34" s="50"/>
    </row>
    <row r="35" spans="1:22">
      <c r="F35" s="8" t="s">
        <v>469</v>
      </c>
      <c r="G35" s="217">
        <v>128988.89238495557</v>
      </c>
      <c r="H35" s="257">
        <v>8913.7329285702963</v>
      </c>
      <c r="I35" s="257">
        <v>31092107.303864509</v>
      </c>
      <c r="J35" s="224"/>
      <c r="K35" s="224"/>
      <c r="L35" s="433">
        <v>4222366.022183788</v>
      </c>
      <c r="M35" s="257"/>
      <c r="N35" s="224">
        <f>O35/G35</f>
        <v>278.10797082235308</v>
      </c>
      <c r="O35" s="206">
        <f>O36-O33</f>
        <v>35872839.119802862</v>
      </c>
      <c r="P35" s="214"/>
      <c r="Q35" s="166"/>
      <c r="R35" s="8"/>
      <c r="S35" s="279">
        <f>SUM(S10:S33)</f>
        <v>0.35360819005002542</v>
      </c>
    </row>
    <row r="36" spans="1:22">
      <c r="F36" s="8" t="s">
        <v>470</v>
      </c>
      <c r="G36" s="217">
        <v>129769.72189046963</v>
      </c>
      <c r="H36" s="257">
        <v>9082.4445816145817</v>
      </c>
      <c r="I36" s="257">
        <v>31223842.340485539</v>
      </c>
      <c r="J36" s="224"/>
      <c r="K36" s="224"/>
      <c r="L36" s="433">
        <v>4222366.022183788</v>
      </c>
      <c r="M36" s="257"/>
      <c r="N36" s="224">
        <f>O36/G36</f>
        <v>277.90819498884298</v>
      </c>
      <c r="O36" s="438">
        <f>SUM(O10:O33)</f>
        <v>36064069.174784563</v>
      </c>
      <c r="P36" s="214"/>
      <c r="Q36" s="166"/>
      <c r="R36" s="8"/>
      <c r="S36" s="8"/>
    </row>
    <row r="37" spans="1:22" ht="16" thickBot="1">
      <c r="F37" s="309"/>
      <c r="J37" s="224"/>
      <c r="K37" s="224"/>
      <c r="M37" s="257"/>
      <c r="N37" s="224"/>
      <c r="P37" s="155"/>
      <c r="Q37" s="77"/>
      <c r="R37" s="77"/>
      <c r="S37" s="77"/>
      <c r="T37" s="77"/>
    </row>
    <row r="38" spans="1:22" ht="16" thickBot="1">
      <c r="D38" s="1" t="s">
        <v>576</v>
      </c>
      <c r="J38" s="224"/>
      <c r="K38" s="224"/>
      <c r="P38" s="155"/>
      <c r="Q38" s="1" t="s">
        <v>462</v>
      </c>
      <c r="R38" s="158">
        <v>0.35360819005002542</v>
      </c>
      <c r="S38" s="8" t="s">
        <v>381</v>
      </c>
      <c r="T38" s="77"/>
    </row>
    <row r="39" spans="1:22">
      <c r="D39" s="1" t="s">
        <v>503</v>
      </c>
      <c r="J39" s="224"/>
      <c r="K39" s="224"/>
      <c r="P39" s="77"/>
      <c r="Q39" s="1"/>
      <c r="R39" s="91" t="s">
        <v>674</v>
      </c>
      <c r="S39" s="91" t="s">
        <v>499</v>
      </c>
      <c r="T39" s="77"/>
    </row>
    <row r="40" spans="1:22">
      <c r="D40" s="1" t="s">
        <v>607</v>
      </c>
      <c r="N40" s="219" t="s">
        <v>203</v>
      </c>
      <c r="P40" s="77"/>
      <c r="Q40" s="1" t="s">
        <v>417</v>
      </c>
      <c r="R40" s="289">
        <v>3.8105420913802277</v>
      </c>
      <c r="S40" s="382">
        <v>1058.9808745445005</v>
      </c>
      <c r="T40" s="77"/>
    </row>
    <row r="41" spans="1:22">
      <c r="D41" s="1" t="s">
        <v>637</v>
      </c>
      <c r="N41" s="219" t="s">
        <v>569</v>
      </c>
      <c r="P41" s="77"/>
      <c r="Q41" s="1" t="s">
        <v>418</v>
      </c>
      <c r="R41" s="289">
        <v>11.354089424617285</v>
      </c>
      <c r="S41" s="382">
        <v>631.07889954745997</v>
      </c>
      <c r="T41" s="77"/>
    </row>
    <row r="42" spans="1:22">
      <c r="D42" s="1" t="s">
        <v>458</v>
      </c>
      <c r="P42" s="77"/>
      <c r="Q42" s="1" t="s">
        <v>173</v>
      </c>
      <c r="R42" s="289">
        <v>20.102667506765215</v>
      </c>
      <c r="S42" s="382">
        <v>558.66960412659864</v>
      </c>
      <c r="T42" s="77"/>
    </row>
    <row r="43" spans="1:22">
      <c r="D43" s="1" t="s">
        <v>641</v>
      </c>
      <c r="P43" s="77"/>
      <c r="Q43" s="1" t="s">
        <v>80</v>
      </c>
      <c r="R43" s="289">
        <v>35.66333716829763</v>
      </c>
      <c r="S43" s="382">
        <v>495.55668298600557</v>
      </c>
      <c r="T43" s="77"/>
    </row>
    <row r="44" spans="1:22">
      <c r="D44" s="1" t="s">
        <v>498</v>
      </c>
      <c r="P44" s="77"/>
      <c r="Q44" s="1" t="s">
        <v>250</v>
      </c>
      <c r="R44" s="289">
        <f>100-R43-R45</f>
        <v>52.508669736920886</v>
      </c>
      <c r="S44" s="382">
        <v>364.81474069632412</v>
      </c>
      <c r="T44" s="77"/>
      <c r="U44" s="1">
        <f>(R47-(0.2*S43)-(0.4*S45))/0.4</f>
        <v>364.81474069632412</v>
      </c>
    </row>
    <row r="45" spans="1:22">
      <c r="D45" s="1" t="s">
        <v>678</v>
      </c>
      <c r="P45" s="77"/>
      <c r="Q45" s="1" t="s">
        <v>251</v>
      </c>
      <c r="R45" s="289">
        <v>11.827993094781482</v>
      </c>
      <c r="S45" s="382">
        <v>82.177405282780526</v>
      </c>
      <c r="T45" s="77"/>
    </row>
    <row r="46" spans="1:22">
      <c r="D46" s="1" t="s">
        <v>679</v>
      </c>
      <c r="P46" s="77"/>
      <c r="Q46" s="1"/>
      <c r="R46" s="289"/>
      <c r="S46" s="289"/>
      <c r="T46" s="77"/>
    </row>
    <row r="47" spans="1:22">
      <c r="D47" s="1" t="s">
        <v>502</v>
      </c>
      <c r="P47" s="77"/>
      <c r="Q47" s="1" t="s">
        <v>408</v>
      </c>
      <c r="R47" s="172">
        <v>277.90819498884298</v>
      </c>
      <c r="T47" s="77"/>
    </row>
    <row r="48" spans="1:22">
      <c r="D48" s="1" t="s">
        <v>547</v>
      </c>
      <c r="P48" s="77"/>
      <c r="Q48" s="1" t="s">
        <v>241</v>
      </c>
      <c r="R48" s="172">
        <v>370.53653864659856</v>
      </c>
      <c r="T48" s="77"/>
    </row>
    <row r="49" spans="4:20">
      <c r="D49" s="1" t="s">
        <v>670</v>
      </c>
      <c r="P49" s="77"/>
      <c r="Q49" s="77"/>
      <c r="R49" s="77"/>
      <c r="S49" s="77"/>
      <c r="T49" s="77"/>
    </row>
    <row r="50" spans="4:20">
      <c r="Q50" s="212" t="s">
        <v>397</v>
      </c>
    </row>
  </sheetData>
  <sortState ref="A10:XFD33">
    <sortCondition ref="N10:N33"/>
  </sortState>
  <phoneticPr fontId="20"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topLeftCell="M2" workbookViewId="0">
      <pane xSplit="14480" ySplit="3700" topLeftCell="N32" activePane="bottomLeft"/>
      <selection activeCell="A10" sqref="A10:XFD35"/>
      <selection pane="topRight" activeCell="S11" sqref="S11:S35"/>
      <selection pane="bottomLeft" activeCell="Q38" sqref="Q38:S48"/>
      <selection pane="bottomRight" activeCell="R51" sqref="R51"/>
    </sheetView>
  </sheetViews>
  <sheetFormatPr baseColWidth="10" defaultRowHeight="15" x14ac:dyDescent="0"/>
  <cols>
    <col min="1" max="1" width="9.6640625" customWidth="1"/>
    <col min="2" max="2" width="12.33203125" style="170" customWidth="1"/>
    <col min="5" max="5" width="15.5" customWidth="1"/>
    <col min="6" max="6" width="12.33203125" style="296" customWidth="1"/>
    <col min="7" max="7" width="11" style="292" bestFit="1" customWidth="1"/>
    <col min="8" max="8" width="10.83203125" style="1"/>
    <col min="9" max="9" width="14.5" style="1" customWidth="1"/>
    <col min="10" max="10" width="4.83203125" style="1" customWidth="1"/>
    <col min="11" max="11" width="10.83203125" style="1"/>
    <col min="12" max="12" width="11.1640625" style="441" bestFit="1" customWidth="1"/>
    <col min="13" max="13" width="4.83203125" style="1" customWidth="1"/>
    <col min="14" max="14" width="10.83203125" style="1"/>
    <col min="15" max="15" width="11.33203125" style="1" bestFit="1" customWidth="1"/>
    <col min="16" max="16" width="4.83203125" customWidth="1"/>
    <col min="17" max="17" width="12.5" style="1" customWidth="1"/>
    <col min="18" max="18" width="12.83203125" style="1" customWidth="1"/>
    <col min="19" max="19" width="12.6640625" style="1" customWidth="1"/>
    <col min="20" max="25" width="10.83203125" style="1"/>
  </cols>
  <sheetData>
    <row r="1" spans="1:25" ht="18">
      <c r="A1" t="s">
        <v>532</v>
      </c>
      <c r="C1" s="133" t="s">
        <v>358</v>
      </c>
      <c r="D1" s="1"/>
      <c r="E1" s="1"/>
      <c r="F1" s="292"/>
      <c r="H1" s="156"/>
      <c r="I1" s="156"/>
      <c r="J1" s="156"/>
      <c r="K1" s="156" t="s">
        <v>590</v>
      </c>
      <c r="M1" s="156"/>
      <c r="N1" s="156"/>
      <c r="O1" s="156"/>
    </row>
    <row r="2" spans="1:25" ht="17">
      <c r="A2" s="36">
        <v>40575</v>
      </c>
      <c r="C2" s="35" t="s">
        <v>672</v>
      </c>
      <c r="D2" s="1"/>
      <c r="E2" s="1"/>
      <c r="F2" s="292"/>
      <c r="H2" s="156"/>
      <c r="I2" s="156"/>
      <c r="J2" s="156"/>
      <c r="K2" s="156"/>
      <c r="M2" s="156"/>
      <c r="N2" s="156"/>
      <c r="O2" s="156"/>
      <c r="S2" s="157"/>
    </row>
    <row r="3" spans="1:25">
      <c r="A3" s="36"/>
      <c r="C3" s="50"/>
      <c r="D3" s="50" t="s">
        <v>266</v>
      </c>
      <c r="F3" s="292"/>
      <c r="H3" s="224"/>
      <c r="I3" s="224"/>
      <c r="J3" s="224"/>
      <c r="K3" s="224"/>
      <c r="M3" s="224"/>
      <c r="N3" s="224"/>
      <c r="O3" s="224"/>
      <c r="S3" s="157" t="s">
        <v>522</v>
      </c>
    </row>
    <row r="4" spans="1:25">
      <c r="A4" s="36"/>
      <c r="B4" s="83"/>
      <c r="C4" s="1"/>
      <c r="D4" s="50" t="s">
        <v>99</v>
      </c>
      <c r="E4" s="1"/>
      <c r="F4" s="292"/>
      <c r="H4" s="156"/>
      <c r="I4" s="156"/>
      <c r="J4" s="156"/>
      <c r="K4" s="156"/>
      <c r="M4" s="156"/>
      <c r="N4" s="156"/>
      <c r="O4" s="156"/>
      <c r="S4" s="157" t="s">
        <v>450</v>
      </c>
    </row>
    <row r="5" spans="1:25">
      <c r="A5" s="1"/>
      <c r="B5" s="169"/>
      <c r="C5" s="169"/>
      <c r="D5" s="169"/>
      <c r="E5" s="169"/>
      <c r="F5" s="292"/>
    </row>
    <row r="6" spans="1:25">
      <c r="A6" s="1"/>
      <c r="B6" s="83"/>
      <c r="C6" s="1"/>
      <c r="D6" s="1"/>
      <c r="E6" s="1"/>
      <c r="F6" s="292"/>
      <c r="H6" s="156"/>
      <c r="I6" s="156"/>
      <c r="J6" s="156"/>
      <c r="K6" s="47" t="s">
        <v>568</v>
      </c>
      <c r="M6" s="156"/>
      <c r="N6" s="209" t="s">
        <v>169</v>
      </c>
      <c r="O6" s="156"/>
      <c r="Q6" s="55" t="s">
        <v>210</v>
      </c>
    </row>
    <row r="7" spans="1:25">
      <c r="A7" s="8"/>
      <c r="B7" s="83"/>
      <c r="C7" s="1"/>
      <c r="D7" s="1"/>
      <c r="E7" s="1"/>
      <c r="F7" s="293" t="s">
        <v>290</v>
      </c>
      <c r="G7" s="293" t="s">
        <v>276</v>
      </c>
      <c r="H7" s="178" t="s">
        <v>216</v>
      </c>
      <c r="I7" s="156"/>
      <c r="J7" s="156"/>
      <c r="K7" s="47" t="s">
        <v>244</v>
      </c>
      <c r="M7" s="156"/>
      <c r="N7" s="47" t="s">
        <v>284</v>
      </c>
      <c r="O7" s="156"/>
      <c r="Q7" s="1" t="s">
        <v>445</v>
      </c>
    </row>
    <row r="8" spans="1:25" ht="15" customHeight="1">
      <c r="A8" s="8"/>
      <c r="B8" s="54" t="s">
        <v>632</v>
      </c>
      <c r="C8" s="1" t="s">
        <v>480</v>
      </c>
      <c r="D8" s="1"/>
      <c r="E8" s="1"/>
      <c r="F8" s="294" t="s">
        <v>289</v>
      </c>
      <c r="G8" s="295" t="s">
        <v>473</v>
      </c>
      <c r="H8" s="48" t="s">
        <v>604</v>
      </c>
      <c r="I8" s="152" t="s">
        <v>213</v>
      </c>
      <c r="J8" s="156"/>
      <c r="K8" s="48" t="s">
        <v>604</v>
      </c>
      <c r="L8" s="442" t="s">
        <v>591</v>
      </c>
      <c r="M8" s="156"/>
      <c r="N8" s="210" t="s">
        <v>170</v>
      </c>
      <c r="O8" s="48" t="s">
        <v>646</v>
      </c>
      <c r="Q8" s="8" t="s">
        <v>520</v>
      </c>
      <c r="R8" s="8" t="s">
        <v>520</v>
      </c>
      <c r="S8" s="8" t="s">
        <v>296</v>
      </c>
    </row>
    <row r="9" spans="1:25" s="302" customFormat="1" ht="15" customHeight="1">
      <c r="A9" s="9" t="s">
        <v>95</v>
      </c>
      <c r="B9" s="175" t="s">
        <v>96</v>
      </c>
      <c r="C9" s="3" t="s">
        <v>97</v>
      </c>
      <c r="D9" s="3" t="s">
        <v>98</v>
      </c>
      <c r="E9" s="3"/>
      <c r="F9" s="299" t="s">
        <v>310</v>
      </c>
      <c r="G9" s="299" t="s">
        <v>311</v>
      </c>
      <c r="H9" s="290" t="s">
        <v>229</v>
      </c>
      <c r="I9" s="176" t="s">
        <v>237</v>
      </c>
      <c r="J9" s="300"/>
      <c r="K9" s="301" t="s">
        <v>230</v>
      </c>
      <c r="L9" s="443" t="s">
        <v>229</v>
      </c>
      <c r="M9" s="300"/>
      <c r="N9" s="301" t="s">
        <v>230</v>
      </c>
      <c r="O9" s="290" t="s">
        <v>647</v>
      </c>
      <c r="Q9" s="9" t="s">
        <v>231</v>
      </c>
      <c r="R9" s="9" t="s">
        <v>65</v>
      </c>
      <c r="S9" s="9" t="s">
        <v>304</v>
      </c>
      <c r="T9" s="3"/>
      <c r="U9" s="3"/>
      <c r="V9" s="3"/>
      <c r="W9" s="3"/>
      <c r="X9" s="3"/>
      <c r="Y9" s="3"/>
    </row>
    <row r="10" spans="1:25" ht="15" customHeight="1">
      <c r="A10" s="1">
        <v>2</v>
      </c>
      <c r="B10" s="297" t="s">
        <v>93</v>
      </c>
      <c r="C10" s="1" t="s">
        <v>609</v>
      </c>
      <c r="D10" s="1" t="s">
        <v>610</v>
      </c>
      <c r="E10" s="1"/>
      <c r="F10" s="246">
        <v>6948.3876391959402</v>
      </c>
      <c r="G10" s="246">
        <v>6948.3876391959402</v>
      </c>
      <c r="H10" s="286">
        <v>52.01</v>
      </c>
      <c r="I10" s="246">
        <v>361385.64111458085</v>
      </c>
      <c r="J10" s="288"/>
      <c r="K10" s="447">
        <v>0</v>
      </c>
      <c r="L10" s="445">
        <v>0</v>
      </c>
      <c r="M10" s="288"/>
      <c r="N10" s="286">
        <v>52.01</v>
      </c>
      <c r="O10" s="330">
        <f t="shared" ref="O10:O35" si="0">I10+L10</f>
        <v>361385.64111458085</v>
      </c>
      <c r="P10" s="288"/>
      <c r="Q10" s="356">
        <f>G10/G$38</f>
        <v>5.2528978884164031E-2</v>
      </c>
      <c r="R10" s="356">
        <f>O10/O$38</f>
        <v>9.440232274959345E-3</v>
      </c>
      <c r="S10" s="157">
        <f>Q10*(Q10-R10)</f>
        <v>2.2634078607800074E-3</v>
      </c>
    </row>
    <row r="11" spans="1:25" ht="15" customHeight="1">
      <c r="A11" s="1">
        <v>2</v>
      </c>
      <c r="B11" s="297" t="s">
        <v>93</v>
      </c>
      <c r="C11" s="1" t="s">
        <v>551</v>
      </c>
      <c r="D11" s="1" t="s">
        <v>552</v>
      </c>
      <c r="E11" s="1"/>
      <c r="F11" s="246">
        <v>415.55032600872619</v>
      </c>
      <c r="G11" s="246">
        <v>415.55032600872619</v>
      </c>
      <c r="H11" s="286">
        <v>48.550000000000004</v>
      </c>
      <c r="I11" s="246">
        <v>42927.273341208624</v>
      </c>
      <c r="J11" s="288"/>
      <c r="K11" s="440"/>
      <c r="L11" s="445"/>
      <c r="M11" s="288"/>
      <c r="N11" s="286">
        <v>58.643377337664845</v>
      </c>
      <c r="O11" s="330">
        <f t="shared" si="0"/>
        <v>42927.273341208624</v>
      </c>
      <c r="P11" s="288"/>
      <c r="Q11" s="356">
        <f>(G11/G$38)+Q10</f>
        <v>5.567048961063608E-2</v>
      </c>
      <c r="R11" s="356">
        <f>(O11/O$38)+R10</f>
        <v>1.0561592354518215E-2</v>
      </c>
      <c r="S11" s="157">
        <f>(Q11-Q10)*(Q11-R11+Q10-R10)</f>
        <v>2.7707384425247253E-4</v>
      </c>
    </row>
    <row r="12" spans="1:25" ht="15" customHeight="1">
      <c r="A12" s="1">
        <v>2</v>
      </c>
      <c r="B12" s="298" t="s">
        <v>94</v>
      </c>
      <c r="C12" s="1" t="s">
        <v>551</v>
      </c>
      <c r="D12" s="1" t="s">
        <v>552</v>
      </c>
      <c r="E12" s="1"/>
      <c r="F12" s="246">
        <v>235.94180362566135</v>
      </c>
      <c r="G12" s="246">
        <v>235.94180362566135</v>
      </c>
      <c r="H12" s="286">
        <v>59.940000000000005</v>
      </c>
      <c r="I12" s="246">
        <v>14142.351709322142</v>
      </c>
      <c r="J12" s="288"/>
      <c r="K12" s="286"/>
      <c r="L12" s="446"/>
      <c r="M12" s="288"/>
      <c r="N12" s="286">
        <v>68.450986581626907</v>
      </c>
      <c r="O12" s="330">
        <f t="shared" si="0"/>
        <v>14142.351709322142</v>
      </c>
      <c r="P12" s="288"/>
      <c r="Q12" s="356">
        <f t="shared" ref="Q12:Q35" si="1">(G12/G$38)+Q11</f>
        <v>5.74541814056405E-2</v>
      </c>
      <c r="R12" s="356">
        <f t="shared" ref="R12:R35" si="2">(O12/O$38)+R11</f>
        <v>1.0931023427203916E-2</v>
      </c>
      <c r="S12" s="157">
        <f t="shared" ref="S12:S35" si="3">(Q12-Q11)*(Q12-R12+Q11-R11)</f>
        <v>1.6344334508126661E-4</v>
      </c>
    </row>
    <row r="13" spans="1:25" ht="15" customHeight="1">
      <c r="A13" s="1">
        <v>2</v>
      </c>
      <c r="B13" s="298" t="s">
        <v>94</v>
      </c>
      <c r="C13" s="1" t="s">
        <v>609</v>
      </c>
      <c r="D13" s="1" t="s">
        <v>610</v>
      </c>
      <c r="E13" s="1"/>
      <c r="F13" s="246">
        <v>672.59682139033032</v>
      </c>
      <c r="G13" s="246">
        <v>672.59682139033032</v>
      </c>
      <c r="H13" s="286">
        <v>78.581000000000003</v>
      </c>
      <c r="I13" s="246">
        <v>52853.330821673546</v>
      </c>
      <c r="J13" s="288"/>
      <c r="K13" s="440">
        <v>0</v>
      </c>
      <c r="L13" s="445">
        <v>0</v>
      </c>
      <c r="M13" s="288"/>
      <c r="N13" s="286">
        <v>78.581000000000003</v>
      </c>
      <c r="O13" s="330">
        <f t="shared" si="0"/>
        <v>52853.330821673546</v>
      </c>
      <c r="P13" s="288"/>
      <c r="Q13" s="356">
        <f t="shared" si="1"/>
        <v>6.2538932870723832E-2</v>
      </c>
      <c r="R13" s="356">
        <f t="shared" si="2"/>
        <v>1.2311675181720277E-2</v>
      </c>
      <c r="S13" s="157">
        <f t="shared" si="3"/>
        <v>4.9195181781243758E-4</v>
      </c>
    </row>
    <row r="14" spans="1:25" ht="15" customHeight="1">
      <c r="A14" s="1">
        <v>2</v>
      </c>
      <c r="B14" s="297" t="s">
        <v>93</v>
      </c>
      <c r="C14" s="1" t="s">
        <v>664</v>
      </c>
      <c r="D14" s="1" t="s">
        <v>665</v>
      </c>
      <c r="E14" s="1"/>
      <c r="F14" s="246">
        <v>32433.40982316939</v>
      </c>
      <c r="G14" s="246">
        <v>32433.40982316939</v>
      </c>
      <c r="H14" s="286">
        <v>104.4330788124533</v>
      </c>
      <c r="I14" s="246">
        <v>3387120.844219646</v>
      </c>
      <c r="J14" s="288"/>
      <c r="K14" s="440">
        <v>9.9736081615728729</v>
      </c>
      <c r="L14" s="445">
        <v>323478.12092000002</v>
      </c>
      <c r="M14" s="288"/>
      <c r="N14" s="286">
        <v>116.32281561460758</v>
      </c>
      <c r="O14" s="330">
        <f t="shared" si="0"/>
        <v>3710598.9651396461</v>
      </c>
      <c r="P14" s="288"/>
      <c r="Q14" s="356">
        <f t="shared" si="1"/>
        <v>0.30773162910605545</v>
      </c>
      <c r="R14" s="356">
        <f t="shared" si="2"/>
        <v>0.109241138129131</v>
      </c>
      <c r="S14" s="157">
        <f t="shared" si="3"/>
        <v>6.0983775396980439E-2</v>
      </c>
    </row>
    <row r="15" spans="1:25" ht="15" customHeight="1">
      <c r="A15" s="1">
        <v>2</v>
      </c>
      <c r="B15" s="297" t="s">
        <v>93</v>
      </c>
      <c r="C15" s="1" t="s">
        <v>583</v>
      </c>
      <c r="D15" s="1" t="s">
        <v>608</v>
      </c>
      <c r="E15" s="1"/>
      <c r="F15" s="126">
        <v>16242.581609038461</v>
      </c>
      <c r="G15" s="126">
        <v>6316.5595146260684</v>
      </c>
      <c r="H15" s="373">
        <f>I15/G15</f>
        <v>123.61340571428573</v>
      </c>
      <c r="I15" s="126">
        <v>780811.43399990397</v>
      </c>
      <c r="J15" s="288"/>
      <c r="K15" s="447">
        <v>0</v>
      </c>
      <c r="L15" s="445">
        <v>0</v>
      </c>
      <c r="M15" s="288"/>
      <c r="N15" s="385">
        <f>H15</f>
        <v>123.61340571428573</v>
      </c>
      <c r="O15" s="381">
        <f t="shared" si="0"/>
        <v>780811.43399990397</v>
      </c>
      <c r="P15" s="288"/>
      <c r="Q15" s="356">
        <f t="shared" si="1"/>
        <v>0.35548406299340174</v>
      </c>
      <c r="R15" s="356">
        <f t="shared" si="2"/>
        <v>0.12963774624330376</v>
      </c>
      <c r="S15" s="157">
        <f t="shared" si="3"/>
        <v>2.0263115356952209E-2</v>
      </c>
    </row>
    <row r="16" spans="1:25" ht="15" customHeight="1">
      <c r="A16" s="1">
        <v>2</v>
      </c>
      <c r="B16" s="298" t="s">
        <v>94</v>
      </c>
      <c r="C16" s="1" t="s">
        <v>664</v>
      </c>
      <c r="D16" s="1" t="s">
        <v>665</v>
      </c>
      <c r="E16" s="1"/>
      <c r="F16" s="246">
        <v>1139.8754213249404</v>
      </c>
      <c r="G16" s="246">
        <v>1139.8754213249404</v>
      </c>
      <c r="H16" s="286">
        <v>157.16200000000001</v>
      </c>
      <c r="I16" s="246">
        <v>179145.10096627029</v>
      </c>
      <c r="J16" s="288"/>
      <c r="K16" s="440">
        <v>2.0645766074038225</v>
      </c>
      <c r="L16" s="445">
        <v>2353.3601302220482</v>
      </c>
      <c r="M16" s="288"/>
      <c r="N16" s="286">
        <v>158.86627205123315</v>
      </c>
      <c r="O16" s="330">
        <f t="shared" si="0"/>
        <v>181498.46109649233</v>
      </c>
      <c r="P16" s="288"/>
      <c r="Q16" s="356">
        <f t="shared" si="1"/>
        <v>0.36410138474436327</v>
      </c>
      <c r="R16" s="356">
        <f t="shared" si="2"/>
        <v>0.13437890758279183</v>
      </c>
      <c r="S16" s="157">
        <f t="shared" si="3"/>
        <v>3.9257828768343378E-3</v>
      </c>
    </row>
    <row r="17" spans="1:22" ht="15" customHeight="1">
      <c r="A17" s="1">
        <v>2</v>
      </c>
      <c r="B17" s="298" t="s">
        <v>94</v>
      </c>
      <c r="C17" s="1" t="s">
        <v>666</v>
      </c>
      <c r="D17" s="1" t="s">
        <v>578</v>
      </c>
      <c r="E17" s="1"/>
      <c r="F17" s="246">
        <v>230.56324860782343</v>
      </c>
      <c r="G17" s="246">
        <v>230.56324860782343</v>
      </c>
      <c r="H17" s="286">
        <v>157.16199999999998</v>
      </c>
      <c r="I17" s="246">
        <v>36235.781277702743</v>
      </c>
      <c r="J17" s="288"/>
      <c r="K17" s="440">
        <v>46.498168403113155</v>
      </c>
      <c r="L17" s="445">
        <v>10720.768761335419</v>
      </c>
      <c r="M17" s="288"/>
      <c r="N17" s="286">
        <v>203.73939123442833</v>
      </c>
      <c r="O17" s="330">
        <f t="shared" si="0"/>
        <v>46956.550039038164</v>
      </c>
      <c r="P17" s="288"/>
      <c r="Q17" s="356">
        <f t="shared" si="1"/>
        <v>0.36584441530720418</v>
      </c>
      <c r="R17" s="356">
        <f t="shared" si="2"/>
        <v>0.13560552172781462</v>
      </c>
      <c r="S17" s="157">
        <f t="shared" si="3"/>
        <v>8.0172672692769794E-4</v>
      </c>
    </row>
    <row r="18" spans="1:22" ht="15" customHeight="1">
      <c r="A18" s="1">
        <v>2</v>
      </c>
      <c r="B18" s="297" t="s">
        <v>93</v>
      </c>
      <c r="C18" s="1" t="s">
        <v>666</v>
      </c>
      <c r="D18" s="1" t="s">
        <v>578</v>
      </c>
      <c r="E18" s="1"/>
      <c r="F18" s="246">
        <v>2003.1246358252829</v>
      </c>
      <c r="G18" s="246">
        <v>2003.1246358252829</v>
      </c>
      <c r="H18" s="286">
        <v>104.1336143104833</v>
      </c>
      <c r="I18" s="246">
        <v>208592.60824285733</v>
      </c>
      <c r="J18" s="288"/>
      <c r="K18" s="440">
        <v>104.69269510332566</v>
      </c>
      <c r="L18" s="445">
        <v>209712.51675241659</v>
      </c>
      <c r="M18" s="288"/>
      <c r="N18" s="286">
        <v>207.86403296943121</v>
      </c>
      <c r="O18" s="330">
        <f t="shared" si="0"/>
        <v>418305.12499527389</v>
      </c>
      <c r="P18" s="288"/>
      <c r="Q18" s="356">
        <f t="shared" si="1"/>
        <v>0.38098779779554665</v>
      </c>
      <c r="R18" s="356">
        <f t="shared" si="2"/>
        <v>0.14653262311895499</v>
      </c>
      <c r="S18" s="157">
        <f t="shared" si="3"/>
        <v>7.037040015664243E-3</v>
      </c>
    </row>
    <row r="19" spans="1:22" ht="15" customHeight="1">
      <c r="A19" s="1">
        <v>2</v>
      </c>
      <c r="B19" s="297" t="s">
        <v>93</v>
      </c>
      <c r="C19" s="1" t="s">
        <v>459</v>
      </c>
      <c r="D19" s="1" t="s">
        <v>550</v>
      </c>
      <c r="E19" s="1"/>
      <c r="F19" s="246">
        <v>9869.7256880736968</v>
      </c>
      <c r="G19" s="246">
        <v>7141</v>
      </c>
      <c r="H19" s="286">
        <v>185.90456049852691</v>
      </c>
      <c r="I19" s="246">
        <v>1327544.4665199807</v>
      </c>
      <c r="J19" s="288"/>
      <c r="K19" s="440">
        <v>36.177270817396085</v>
      </c>
      <c r="L19" s="445">
        <v>258341.89090702543</v>
      </c>
      <c r="M19" s="288"/>
      <c r="N19" s="286">
        <v>222.06354028887174</v>
      </c>
      <c r="O19" s="330">
        <f t="shared" si="0"/>
        <v>1585886.3574270061</v>
      </c>
      <c r="P19" s="288"/>
      <c r="Q19" s="356">
        <f t="shared" si="1"/>
        <v>0.43497290307318232</v>
      </c>
      <c r="R19" s="356">
        <f t="shared" si="2"/>
        <v>0.18795965804382458</v>
      </c>
      <c r="S19" s="157">
        <f t="shared" si="3"/>
        <v>2.5992123325682553E-2</v>
      </c>
      <c r="U19" s="50">
        <f>(0.4-Q18)/(Q19-Q18)</f>
        <v>0.352174958383003</v>
      </c>
      <c r="V19" s="50">
        <f>100*(R18+(U19*(R19-R18)))</f>
        <v>16.112218741955214</v>
      </c>
    </row>
    <row r="20" spans="1:22" ht="15" customHeight="1">
      <c r="A20" s="1">
        <v>2</v>
      </c>
      <c r="B20" s="297" t="s">
        <v>93</v>
      </c>
      <c r="C20" s="1" t="s">
        <v>554</v>
      </c>
      <c r="D20" s="1" t="s">
        <v>555</v>
      </c>
      <c r="E20" s="1"/>
      <c r="F20" s="246">
        <v>24209.23052125737</v>
      </c>
      <c r="G20" s="246">
        <v>17516</v>
      </c>
      <c r="H20" s="286">
        <v>206.16256049852689</v>
      </c>
      <c r="I20" s="246">
        <v>3611143.4096921971</v>
      </c>
      <c r="J20" s="288"/>
      <c r="K20" s="440">
        <v>50.560093280826621</v>
      </c>
      <c r="L20" s="445">
        <v>885610.59390695905</v>
      </c>
      <c r="M20" s="288"/>
      <c r="N20" s="286">
        <v>273.59431087753222</v>
      </c>
      <c r="O20" s="330">
        <f t="shared" si="0"/>
        <v>4496754.0035991557</v>
      </c>
      <c r="P20" s="288"/>
      <c r="Q20" s="356">
        <f t="shared" si="1"/>
        <v>0.56739176654371404</v>
      </c>
      <c r="R20" s="356">
        <f t="shared" si="2"/>
        <v>0.30542531646457538</v>
      </c>
      <c r="S20" s="157">
        <f t="shared" si="3"/>
        <v>6.7398512755844853E-2</v>
      </c>
      <c r="U20"/>
      <c r="V20" s="50">
        <f>100-V19</f>
        <v>83.887781258044782</v>
      </c>
    </row>
    <row r="21" spans="1:22" ht="15" customHeight="1">
      <c r="A21" s="1">
        <v>2</v>
      </c>
      <c r="B21" s="298" t="s">
        <v>94</v>
      </c>
      <c r="C21" s="1" t="s">
        <v>583</v>
      </c>
      <c r="D21" s="1" t="s">
        <v>608</v>
      </c>
      <c r="E21" s="1"/>
      <c r="F21" s="246">
        <v>2537.0550000000003</v>
      </c>
      <c r="G21" s="324">
        <v>986.63250000000005</v>
      </c>
      <c r="H21" s="385">
        <f>I21/G21</f>
        <v>279.77170731428572</v>
      </c>
      <c r="I21" s="246">
        <v>276031.859016762</v>
      </c>
      <c r="J21" s="288"/>
      <c r="K21" s="440">
        <v>0</v>
      </c>
      <c r="L21" s="445">
        <v>0</v>
      </c>
      <c r="M21" s="288"/>
      <c r="N21" s="385">
        <f>H21</f>
        <v>279.77170731428572</v>
      </c>
      <c r="O21" s="330">
        <f t="shared" si="0"/>
        <v>276031.859016762</v>
      </c>
      <c r="P21" s="288"/>
      <c r="Q21" s="356">
        <f t="shared" si="1"/>
        <v>0.57485059015144924</v>
      </c>
      <c r="R21" s="356">
        <f t="shared" si="2"/>
        <v>0.31263590971440752</v>
      </c>
      <c r="S21" s="157">
        <f t="shared" si="3"/>
        <v>3.909774591023412E-3</v>
      </c>
      <c r="U21" s="50">
        <f>(SUM(O10:O18)+(U19*O19))/(SUM(G10:G18)+(U19*G19))</f>
        <v>116.57313877898348</v>
      </c>
      <c r="V21" s="50"/>
    </row>
    <row r="22" spans="1:22" ht="15" customHeight="1">
      <c r="A22" s="1">
        <v>2</v>
      </c>
      <c r="B22" s="297" t="s">
        <v>93</v>
      </c>
      <c r="C22" s="1" t="s">
        <v>634</v>
      </c>
      <c r="D22" s="1" t="s">
        <v>543</v>
      </c>
      <c r="E22" s="1"/>
      <c r="F22" s="246">
        <v>16320.388830191041</v>
      </c>
      <c r="G22" s="246">
        <v>8522.9731000000011</v>
      </c>
      <c r="H22" s="286">
        <v>198.99997394101834</v>
      </c>
      <c r="I22" s="246">
        <v>1696071.4248000004</v>
      </c>
      <c r="J22" s="288"/>
      <c r="K22" s="440">
        <v>43.327894650701062</v>
      </c>
      <c r="L22" s="445">
        <v>369282.48058755911</v>
      </c>
      <c r="M22" s="288"/>
      <c r="N22" s="286">
        <v>281.95544046250751</v>
      </c>
      <c r="O22" s="330">
        <f t="shared" si="0"/>
        <v>2065353.9053875594</v>
      </c>
      <c r="P22" s="288"/>
      <c r="Q22" s="356">
        <f t="shared" si="1"/>
        <v>0.6392832466536138</v>
      </c>
      <c r="R22" s="356">
        <f t="shared" si="2"/>
        <v>0.36658775056984183</v>
      </c>
      <c r="S22" s="157">
        <f t="shared" si="3"/>
        <v>3.4465683663277805E-2</v>
      </c>
      <c r="U22" s="50"/>
      <c r="V22" s="50"/>
    </row>
    <row r="23" spans="1:22" ht="15" customHeight="1">
      <c r="A23" s="1">
        <v>2</v>
      </c>
      <c r="B23" s="297" t="s">
        <v>93</v>
      </c>
      <c r="C23" s="1" t="s">
        <v>565</v>
      </c>
      <c r="D23" s="1" t="s">
        <v>483</v>
      </c>
      <c r="E23" s="1"/>
      <c r="F23" s="246">
        <v>14348.354370055587</v>
      </c>
      <c r="G23" s="246">
        <v>10381.402867192013</v>
      </c>
      <c r="H23" s="286">
        <v>272.30256049852687</v>
      </c>
      <c r="I23" s="246">
        <v>2826882.5823031338</v>
      </c>
      <c r="J23" s="288"/>
      <c r="K23" s="440">
        <v>50.560093280826621</v>
      </c>
      <c r="L23" s="445">
        <v>524884.69735106907</v>
      </c>
      <c r="M23" s="288"/>
      <c r="N23" s="286">
        <v>340.47696152610013</v>
      </c>
      <c r="O23" s="330">
        <f t="shared" si="0"/>
        <v>3351767.279654203</v>
      </c>
      <c r="P23" s="288"/>
      <c r="Q23" s="356">
        <f t="shared" si="1"/>
        <v>0.71776540975610781</v>
      </c>
      <c r="R23" s="356">
        <f t="shared" si="2"/>
        <v>0.45414369649496522</v>
      </c>
      <c r="S23" s="157">
        <f t="shared" si="3"/>
        <v>4.2091334698482009E-2</v>
      </c>
    </row>
    <row r="24" spans="1:22" ht="15" customHeight="1">
      <c r="A24" s="1">
        <v>2</v>
      </c>
      <c r="B24" s="298" t="s">
        <v>94</v>
      </c>
      <c r="C24" s="1" t="s">
        <v>459</v>
      </c>
      <c r="D24" s="1" t="s">
        <v>550</v>
      </c>
      <c r="E24" s="1"/>
      <c r="F24" s="246">
        <v>1261.8585121287699</v>
      </c>
      <c r="G24" s="246">
        <v>860</v>
      </c>
      <c r="H24" s="286">
        <v>318.9130542745657</v>
      </c>
      <c r="I24" s="246">
        <v>274265.22667612648</v>
      </c>
      <c r="J24" s="288"/>
      <c r="K24" s="440">
        <v>39.74842313346749</v>
      </c>
      <c r="L24" s="445">
        <v>34183.643894782042</v>
      </c>
      <c r="M24" s="288"/>
      <c r="N24" s="286">
        <v>364.19608273029604</v>
      </c>
      <c r="O24" s="330">
        <f t="shared" si="0"/>
        <v>308448.87057090853</v>
      </c>
      <c r="P24" s="288"/>
      <c r="Q24" s="356">
        <f t="shared" si="1"/>
        <v>0.72426690682077199</v>
      </c>
      <c r="R24" s="356">
        <f t="shared" si="2"/>
        <v>0.46220109737607834</v>
      </c>
      <c r="S24" s="157">
        <f t="shared" si="3"/>
        <v>3.4177558858025812E-3</v>
      </c>
    </row>
    <row r="25" spans="1:22" ht="15" customHeight="1">
      <c r="A25" s="1">
        <v>2</v>
      </c>
      <c r="B25" s="298" t="s">
        <v>94</v>
      </c>
      <c r="C25" s="1" t="s">
        <v>566</v>
      </c>
      <c r="D25" s="1" t="s">
        <v>579</v>
      </c>
      <c r="E25" s="1"/>
      <c r="F25" s="246">
        <v>373.68641911311346</v>
      </c>
      <c r="G25" s="246">
        <v>254.68015419186904</v>
      </c>
      <c r="H25" s="286">
        <v>366.64021629799782</v>
      </c>
      <c r="I25" s="246">
        <v>93375.986819714308</v>
      </c>
      <c r="J25" s="288"/>
      <c r="K25" s="440">
        <v>22.614155001121127</v>
      </c>
      <c r="L25" s="445">
        <v>5759.3764826043544</v>
      </c>
      <c r="M25" s="288"/>
      <c r="N25" s="286">
        <v>389.25437129911893</v>
      </c>
      <c r="O25" s="330">
        <f t="shared" si="0"/>
        <v>99135.363302318656</v>
      </c>
      <c r="P25" s="288"/>
      <c r="Q25" s="356">
        <f t="shared" si="1"/>
        <v>0.72619225830322154</v>
      </c>
      <c r="R25" s="356">
        <f t="shared" si="2"/>
        <v>0.46479074331040487</v>
      </c>
      <c r="S25" s="157">
        <f t="shared" si="3"/>
        <v>1.0078585891196571E-3</v>
      </c>
    </row>
    <row r="26" spans="1:22" ht="15" customHeight="1">
      <c r="A26" s="1">
        <v>2</v>
      </c>
      <c r="B26" s="297" t="s">
        <v>93</v>
      </c>
      <c r="C26" s="1" t="s">
        <v>582</v>
      </c>
      <c r="D26" s="1" t="s">
        <v>478</v>
      </c>
      <c r="E26" s="1"/>
      <c r="F26" s="246">
        <v>8776.5916607623876</v>
      </c>
      <c r="G26" s="246">
        <v>6350.08945843726</v>
      </c>
      <c r="H26" s="286">
        <v>252.00469689817132</v>
      </c>
      <c r="I26" s="246">
        <v>1600252.3692497546</v>
      </c>
      <c r="J26" s="288"/>
      <c r="K26" s="440">
        <v>175.76116185987379</v>
      </c>
      <c r="L26" s="445">
        <v>1116099.1011290697</v>
      </c>
      <c r="M26" s="288"/>
      <c r="N26" s="286">
        <v>458.23119942653</v>
      </c>
      <c r="O26" s="330">
        <f t="shared" si="0"/>
        <v>2716351.4703788245</v>
      </c>
      <c r="P26" s="288"/>
      <c r="Q26" s="356">
        <f t="shared" si="1"/>
        <v>0.77419817455250595</v>
      </c>
      <c r="R26" s="356">
        <f t="shared" si="2"/>
        <v>0.53574815252488195</v>
      </c>
      <c r="S26" s="157">
        <f t="shared" si="3"/>
        <v>2.399583102327936E-2</v>
      </c>
    </row>
    <row r="27" spans="1:22" ht="15" customHeight="1">
      <c r="A27" s="1">
        <v>2</v>
      </c>
      <c r="B27" s="297" t="s">
        <v>93</v>
      </c>
      <c r="C27" s="1" t="s">
        <v>633</v>
      </c>
      <c r="D27" s="1" t="s">
        <v>615</v>
      </c>
      <c r="E27" s="1"/>
      <c r="F27" s="246">
        <v>16320.388830191041</v>
      </c>
      <c r="G27" s="246">
        <v>8522.9731000000011</v>
      </c>
      <c r="H27" s="286">
        <v>198.99997394101834</v>
      </c>
      <c r="I27" s="246">
        <v>1696071.4248000004</v>
      </c>
      <c r="J27" s="288"/>
      <c r="K27" s="440">
        <v>96.410465740107426</v>
      </c>
      <c r="L27" s="445">
        <v>821703.80606140732</v>
      </c>
      <c r="M27" s="288"/>
      <c r="N27" s="286">
        <v>501.61438416993877</v>
      </c>
      <c r="O27" s="330">
        <f t="shared" si="0"/>
        <v>2517775.2308614077</v>
      </c>
      <c r="P27" s="288"/>
      <c r="Q27" s="356">
        <f t="shared" si="1"/>
        <v>0.83863083105467051</v>
      </c>
      <c r="R27" s="356">
        <f t="shared" si="2"/>
        <v>0.60151828916386108</v>
      </c>
      <c r="S27" s="157">
        <f t="shared" si="3"/>
        <v>3.0641759326245094E-2</v>
      </c>
      <c r="U27" s="50">
        <f>(0.8-Q26)/(Q27-Q26)</f>
        <v>0.40044640168805246</v>
      </c>
      <c r="V27" s="50">
        <f>100*(R26+(U27*(R27-R26)))</f>
        <v>56.208556708049272</v>
      </c>
    </row>
    <row r="28" spans="1:22" ht="15" customHeight="1">
      <c r="A28" s="1">
        <v>2</v>
      </c>
      <c r="B28" s="298" t="s">
        <v>94</v>
      </c>
      <c r="C28" s="1" t="s">
        <v>554</v>
      </c>
      <c r="D28" s="1" t="s">
        <v>555</v>
      </c>
      <c r="E28" s="1"/>
      <c r="F28" s="246">
        <v>2221.457892282509</v>
      </c>
      <c r="G28" s="246">
        <v>1514</v>
      </c>
      <c r="H28" s="286">
        <v>375.02305427456565</v>
      </c>
      <c r="I28" s="246">
        <v>567784.90417169244</v>
      </c>
      <c r="J28" s="288"/>
      <c r="K28" s="440">
        <v>137.54915569934698</v>
      </c>
      <c r="L28" s="445">
        <v>208249.42172881134</v>
      </c>
      <c r="M28" s="288"/>
      <c r="N28" s="286">
        <v>515.22565673409872</v>
      </c>
      <c r="O28" s="330">
        <f t="shared" si="0"/>
        <v>776034.32590050378</v>
      </c>
      <c r="P28" s="288"/>
      <c r="Q28" s="356">
        <f t="shared" si="1"/>
        <v>0.85007648984060247</v>
      </c>
      <c r="R28" s="356">
        <f t="shared" si="2"/>
        <v>0.62179010811949986</v>
      </c>
      <c r="S28" s="157">
        <f t="shared" si="3"/>
        <v>5.3267972790019564E-3</v>
      </c>
      <c r="U28"/>
      <c r="V28" s="50">
        <f>100-V27</f>
        <v>43.791443291950728</v>
      </c>
    </row>
    <row r="29" spans="1:22" ht="15" customHeight="1">
      <c r="A29" s="1">
        <v>2</v>
      </c>
      <c r="B29" s="297" t="s">
        <v>93</v>
      </c>
      <c r="C29" s="1" t="s">
        <v>76</v>
      </c>
      <c r="D29" s="1" t="s">
        <v>92</v>
      </c>
      <c r="E29" s="1"/>
      <c r="F29" s="246">
        <v>3472.8274754779186</v>
      </c>
      <c r="G29" s="246">
        <v>10725.923050589983</v>
      </c>
      <c r="H29" s="286">
        <v>400.71584086964612</v>
      </c>
      <c r="I29" s="246">
        <v>4298047.2743202848</v>
      </c>
      <c r="J29" s="288"/>
      <c r="K29" s="440">
        <v>152.65733536142895</v>
      </c>
      <c r="L29" s="445">
        <v>1637390.8321947961</v>
      </c>
      <c r="M29" s="288"/>
      <c r="N29" s="286">
        <v>553.37317623107504</v>
      </c>
      <c r="O29" s="330">
        <f t="shared" si="0"/>
        <v>5935438.1065150807</v>
      </c>
      <c r="P29" s="288"/>
      <c r="Q29" s="356">
        <f t="shared" si="1"/>
        <v>0.93116318429318889</v>
      </c>
      <c r="R29" s="356">
        <f t="shared" si="2"/>
        <v>0.77683753669561695</v>
      </c>
      <c r="S29" s="157">
        <f t="shared" si="3"/>
        <v>3.1024744715247403E-2</v>
      </c>
      <c r="U29" s="50">
        <f>(SUM(O28:O$35)+((1-U27)*O27))/(SUM(G28:G$35)+((1-U27)*G27))</f>
        <v>633.66890407361507</v>
      </c>
      <c r="V29" s="50"/>
    </row>
    <row r="30" spans="1:22" ht="15" customHeight="1">
      <c r="A30" s="1">
        <v>2</v>
      </c>
      <c r="B30" s="298" t="s">
        <v>94</v>
      </c>
      <c r="C30" s="1" t="s">
        <v>565</v>
      </c>
      <c r="D30" s="1" t="s">
        <v>483</v>
      </c>
      <c r="E30" s="1"/>
      <c r="F30" s="246">
        <v>1006.4232633190234</v>
      </c>
      <c r="G30" s="246">
        <v>685.91208771434367</v>
      </c>
      <c r="H30" s="286">
        <v>466.35438760789901</v>
      </c>
      <c r="I30" s="246">
        <v>319878.11161887826</v>
      </c>
      <c r="J30" s="288"/>
      <c r="K30" s="440">
        <v>137.54915569934698</v>
      </c>
      <c r="L30" s="445">
        <v>94346.628549084402</v>
      </c>
      <c r="M30" s="288"/>
      <c r="N30" s="286">
        <v>606.55699006743203</v>
      </c>
      <c r="O30" s="330">
        <f t="shared" si="0"/>
        <v>414224.74016796268</v>
      </c>
      <c r="P30" s="288"/>
      <c r="Q30" s="356">
        <f t="shared" si="1"/>
        <v>0.93634859757794753</v>
      </c>
      <c r="R30" s="356">
        <f t="shared" si="2"/>
        <v>0.7876580489582512</v>
      </c>
      <c r="S30" s="157">
        <f t="shared" si="3"/>
        <v>1.5712642093620515E-3</v>
      </c>
      <c r="U30"/>
      <c r="V30" s="50">
        <f>100-V29</f>
        <v>100</v>
      </c>
    </row>
    <row r="31" spans="1:22" ht="15" customHeight="1">
      <c r="A31" s="1">
        <v>2</v>
      </c>
      <c r="B31" s="297" t="s">
        <v>93</v>
      </c>
      <c r="C31" s="1" t="s">
        <v>612</v>
      </c>
      <c r="D31" s="1" t="s">
        <v>645</v>
      </c>
      <c r="E31" s="1"/>
      <c r="F31" s="246">
        <v>7344.1749735859676</v>
      </c>
      <c r="G31" s="246">
        <v>3835.3378949999997</v>
      </c>
      <c r="H31" s="286">
        <v>198.99997394101834</v>
      </c>
      <c r="I31" s="246">
        <v>763232.14116000012</v>
      </c>
      <c r="J31" s="288"/>
      <c r="K31" s="440">
        <v>208.83483357927449</v>
      </c>
      <c r="L31" s="445">
        <v>800952.15102260991</v>
      </c>
      <c r="M31" s="288"/>
      <c r="N31" s="286">
        <v>940.61823607063002</v>
      </c>
      <c r="O31" s="330">
        <f t="shared" si="0"/>
        <v>1564184.2921826099</v>
      </c>
      <c r="P31" s="288"/>
      <c r="Q31" s="356">
        <f t="shared" si="1"/>
        <v>0.96534329300392152</v>
      </c>
      <c r="R31" s="356">
        <f t="shared" si="2"/>
        <v>0.82851817553523643</v>
      </c>
      <c r="S31" s="157">
        <f t="shared" si="3"/>
        <v>8.2784397775767134E-3</v>
      </c>
      <c r="U31" s="50">
        <f>(SUM(O30:O$35)+((1-U29)*O29))/(SUM(G30:G$35)+((1-U29)*G29))</f>
        <v>552.85609014330782</v>
      </c>
      <c r="V31" s="50"/>
    </row>
    <row r="32" spans="1:22" ht="15" customHeight="1">
      <c r="A32" s="1">
        <v>2</v>
      </c>
      <c r="B32" s="298" t="s">
        <v>94</v>
      </c>
      <c r="C32" s="1" t="s">
        <v>582</v>
      </c>
      <c r="D32" s="1" t="s">
        <v>478</v>
      </c>
      <c r="E32" s="1"/>
      <c r="F32" s="246">
        <v>3502.1229010025154</v>
      </c>
      <c r="G32" s="246">
        <v>2386.8172746096379</v>
      </c>
      <c r="H32" s="286">
        <v>1076.2512523700495</v>
      </c>
      <c r="I32" s="246">
        <v>2568815.0809770911</v>
      </c>
      <c r="J32" s="288"/>
      <c r="K32" s="440">
        <v>203.56716305408384</v>
      </c>
      <c r="L32" s="445">
        <v>485877.62132076418</v>
      </c>
      <c r="M32" s="288"/>
      <c r="N32" s="286">
        <v>1282.7805146345263</v>
      </c>
      <c r="O32" s="330">
        <f t="shared" si="0"/>
        <v>3054692.7022978552</v>
      </c>
      <c r="P32" s="288"/>
      <c r="Q32" s="356">
        <f t="shared" si="1"/>
        <v>0.98338734591643806</v>
      </c>
      <c r="R32" s="356">
        <f t="shared" si="2"/>
        <v>0.90831384353514999</v>
      </c>
      <c r="S32" s="157">
        <f t="shared" si="3"/>
        <v>3.8235099086621452E-3</v>
      </c>
      <c r="U32"/>
      <c r="V32" s="50">
        <f>100-V31</f>
        <v>100</v>
      </c>
    </row>
    <row r="33" spans="1:22" ht="15" customHeight="1">
      <c r="A33" s="1">
        <v>2</v>
      </c>
      <c r="B33" s="297" t="s">
        <v>93</v>
      </c>
      <c r="C33" s="1" t="s">
        <v>611</v>
      </c>
      <c r="D33" s="1" t="s">
        <v>529</v>
      </c>
      <c r="E33" s="1"/>
      <c r="F33" s="246">
        <v>816.01944150955205</v>
      </c>
      <c r="G33" s="246">
        <v>426.14865500000002</v>
      </c>
      <c r="H33" s="286">
        <v>198.99997394101834</v>
      </c>
      <c r="I33" s="246">
        <v>84803.571240000019</v>
      </c>
      <c r="J33" s="288"/>
      <c r="K33" s="440">
        <v>578.61366737276012</v>
      </c>
      <c r="L33" s="445">
        <v>246575.43611551911</v>
      </c>
      <c r="M33" s="288"/>
      <c r="N33" s="286">
        <v>1523.912098590569</v>
      </c>
      <c r="O33" s="330">
        <f t="shared" si="0"/>
        <v>331379.0073555191</v>
      </c>
      <c r="P33" s="288"/>
      <c r="Q33" s="356">
        <f t="shared" si="1"/>
        <v>0.98660897874154629</v>
      </c>
      <c r="R33" s="356">
        <f t="shared" si="2"/>
        <v>0.91697023284501111</v>
      </c>
      <c r="S33" s="157">
        <f t="shared" si="3"/>
        <v>4.6620972924704787E-4</v>
      </c>
      <c r="U33" s="50">
        <f>(SUM(O32:O$35)+((1-U31)*O31))/(SUM(G32:G$35)+((1-U31)*G31))</f>
        <v>405.61179514046199</v>
      </c>
      <c r="V33" s="50"/>
    </row>
    <row r="34" spans="1:22" ht="15" customHeight="1">
      <c r="A34" s="1">
        <v>2</v>
      </c>
      <c r="B34" s="297" t="s">
        <v>93</v>
      </c>
      <c r="C34" s="1" t="s">
        <v>667</v>
      </c>
      <c r="D34" s="1" t="s">
        <v>205</v>
      </c>
      <c r="E34" s="1"/>
      <c r="F34" s="246">
        <v>1869.9441842122601</v>
      </c>
      <c r="G34" s="246">
        <v>1352.9526393621529</v>
      </c>
      <c r="H34" s="286">
        <v>1442.8097033556694</v>
      </c>
      <c r="I34" s="246">
        <v>1952053.1962523779</v>
      </c>
      <c r="J34" s="288"/>
      <c r="K34" s="440">
        <v>152.73506955191178</v>
      </c>
      <c r="L34" s="445">
        <v>206643.31547342104</v>
      </c>
      <c r="M34" s="288"/>
      <c r="N34" s="286">
        <v>1655.3855074312269</v>
      </c>
      <c r="O34" s="330">
        <f t="shared" si="0"/>
        <v>2158696.5117257992</v>
      </c>
      <c r="P34" s="288"/>
      <c r="Q34" s="356">
        <f t="shared" si="1"/>
        <v>0.99683713875717728</v>
      </c>
      <c r="R34" s="356">
        <f t="shared" si="2"/>
        <v>0.97336039936901753</v>
      </c>
      <c r="S34" s="157">
        <f t="shared" si="3"/>
        <v>9.5240008342499191E-4</v>
      </c>
      <c r="U34" s="50">
        <f>(0.99-Q33)/(Q34-Q33)</f>
        <v>0.33153775979955691</v>
      </c>
      <c r="V34" s="50">
        <f>100*(R33+(U34*(R34-R33)))</f>
        <v>93.566570232910422</v>
      </c>
    </row>
    <row r="35" spans="1:22" ht="15" customHeight="1">
      <c r="A35" s="1">
        <v>2</v>
      </c>
      <c r="B35" s="298" t="s">
        <v>94</v>
      </c>
      <c r="C35" s="1" t="s">
        <v>667</v>
      </c>
      <c r="D35" s="1" t="s">
        <v>205</v>
      </c>
      <c r="E35" s="1"/>
      <c r="F35" s="317">
        <v>613.87144256812326</v>
      </c>
      <c r="G35" s="317">
        <v>418.37451309653005</v>
      </c>
      <c r="H35" s="354">
        <v>2128.0367685602801</v>
      </c>
      <c r="I35" s="317">
        <v>890316.34689792036</v>
      </c>
      <c r="K35" s="439">
        <v>309.49734556346704</v>
      </c>
      <c r="L35" s="444">
        <v>129485.80125478403</v>
      </c>
      <c r="N35" s="354">
        <v>2438.2764458724232</v>
      </c>
      <c r="O35" s="330">
        <f t="shared" si="0"/>
        <v>1019802.1481527044</v>
      </c>
      <c r="P35" s="1"/>
      <c r="Q35" s="356">
        <f t="shared" si="1"/>
        <v>0.99999999999999978</v>
      </c>
      <c r="R35" s="356">
        <f t="shared" si="2"/>
        <v>1</v>
      </c>
      <c r="S35" s="157">
        <f t="shared" si="3"/>
        <v>7.425366911865421E-5</v>
      </c>
      <c r="U35"/>
      <c r="V35" s="50">
        <f>100-V34</f>
        <v>6.4334297670895779</v>
      </c>
    </row>
    <row r="36" spans="1:22" ht="15" customHeight="1">
      <c r="A36" s="1"/>
      <c r="B36" s="83"/>
      <c r="C36" s="1"/>
      <c r="D36" s="1"/>
      <c r="E36" s="1"/>
      <c r="F36" s="1"/>
      <c r="P36" s="1"/>
      <c r="S36" s="355">
        <f>SUM(S10:S35)</f>
        <v>0.38064557047168346</v>
      </c>
      <c r="U36" s="50">
        <f>(SUM(O35:O$35)+((1-U34)*O34))/(SUM(G35:G$35)+((1-U34)*G34))</f>
        <v>1861.8543183278152</v>
      </c>
      <c r="V36" s="50"/>
    </row>
    <row r="37" spans="1:22" ht="15" customHeight="1" thickBot="1">
      <c r="A37" s="1"/>
      <c r="B37" s="83"/>
      <c r="C37" s="1"/>
      <c r="D37" s="1"/>
      <c r="E37" s="8" t="s">
        <v>469</v>
      </c>
      <c r="F37" s="292">
        <v>156875.15268540391</v>
      </c>
      <c r="G37" s="304">
        <v>125442.6710748668</v>
      </c>
      <c r="H37" s="305">
        <v>230.00897702483061</v>
      </c>
      <c r="I37" s="304">
        <v>28852940.44919242</v>
      </c>
      <c r="K37" s="305">
        <f>L37/G37</f>
        <v>66.736872651156034</v>
      </c>
      <c r="L37" s="441">
        <f>SUM(L10:L35)</f>
        <v>8371651.5645442409</v>
      </c>
      <c r="N37" s="305">
        <f>O37/G37</f>
        <v>261.19404883723092</v>
      </c>
      <c r="O37" s="306">
        <f>O38-O20-O35</f>
        <v>32764879.15500145</v>
      </c>
      <c r="P37" s="155"/>
      <c r="Q37" s="77"/>
      <c r="R37" s="77"/>
      <c r="S37" s="77"/>
      <c r="T37" s="77"/>
    </row>
    <row r="38" spans="1:22" ht="15" customHeight="1" thickBot="1">
      <c r="A38" s="1"/>
      <c r="B38" s="83"/>
      <c r="C38" s="1"/>
      <c r="D38" s="1"/>
      <c r="E38" s="8" t="s">
        <v>470</v>
      </c>
      <c r="F38" s="324">
        <f>SUM(F10:F35)</f>
        <v>175186.15273391746</v>
      </c>
      <c r="G38" s="324">
        <f>SUM(G10:G35)</f>
        <v>132277.22652896796</v>
      </c>
      <c r="H38" s="275">
        <f>I38/G38</f>
        <v>226.11438512175795</v>
      </c>
      <c r="I38" s="324">
        <f>SUM(I10:I35)</f>
        <v>29909783.742209081</v>
      </c>
      <c r="K38" s="354">
        <f>L38/G38</f>
        <v>63.288683806134209</v>
      </c>
      <c r="L38" s="441">
        <f>SUM(L10:L35)</f>
        <v>8371651.5645442409</v>
      </c>
      <c r="N38" s="275">
        <f>O38/G38</f>
        <v>289.40306892789209</v>
      </c>
      <c r="O38" s="312">
        <f>SUM(O10:O35)</f>
        <v>38281435.306753315</v>
      </c>
      <c r="P38" s="155"/>
      <c r="Q38" s="51" t="s">
        <v>297</v>
      </c>
      <c r="R38" s="371">
        <v>0.38064557047168346</v>
      </c>
      <c r="S38" s="91" t="s">
        <v>77</v>
      </c>
      <c r="T38" s="77"/>
    </row>
    <row r="39" spans="1:22" ht="15" customHeight="1">
      <c r="A39" s="1"/>
      <c r="B39" s="83"/>
      <c r="C39" s="1"/>
      <c r="D39" s="1"/>
      <c r="E39" s="1"/>
      <c r="F39" s="1"/>
      <c r="G39" s="1"/>
      <c r="P39" s="77"/>
      <c r="Q39" s="51"/>
      <c r="R39" s="91" t="s">
        <v>295</v>
      </c>
      <c r="S39" s="91" t="s">
        <v>380</v>
      </c>
      <c r="T39" s="77"/>
    </row>
    <row r="40" spans="1:22" ht="15" customHeight="1">
      <c r="A40" s="1"/>
      <c r="B40" s="83"/>
      <c r="C40" s="1" t="s">
        <v>366</v>
      </c>
      <c r="D40" s="1"/>
      <c r="E40" s="1"/>
      <c r="F40" s="292"/>
      <c r="P40" s="77"/>
      <c r="Q40" s="51" t="s">
        <v>417</v>
      </c>
      <c r="R40" s="289">
        <v>6.4334297670895779</v>
      </c>
      <c r="S40" s="382">
        <v>1861.8543183278152</v>
      </c>
      <c r="T40" s="77"/>
    </row>
    <row r="41" spans="1:22" ht="15" customHeight="1">
      <c r="A41" s="1"/>
      <c r="B41" s="83"/>
      <c r="C41" s="1" t="s">
        <v>553</v>
      </c>
      <c r="D41" s="1"/>
      <c r="E41" s="1"/>
      <c r="F41" s="292"/>
      <c r="N41" s="200"/>
      <c r="O41" s="201"/>
      <c r="P41" s="77"/>
      <c r="Q41" s="51" t="s">
        <v>418</v>
      </c>
      <c r="R41" s="289">
        <v>19.310401724994435</v>
      </c>
      <c r="S41" s="382">
        <v>1117.6979042887724</v>
      </c>
      <c r="T41" s="77"/>
    </row>
    <row r="42" spans="1:22" ht="15" customHeight="1">
      <c r="A42" s="1"/>
      <c r="B42" s="83"/>
      <c r="C42" s="1" t="s">
        <v>663</v>
      </c>
      <c r="D42" s="1"/>
      <c r="E42" s="1"/>
      <c r="F42" s="292"/>
      <c r="M42" s="201"/>
      <c r="N42" s="201"/>
      <c r="O42" s="201"/>
      <c r="P42" s="77"/>
      <c r="Q42" s="51" t="s">
        <v>173</v>
      </c>
      <c r="R42" s="289">
        <v>28.275018757310193</v>
      </c>
      <c r="S42" s="382">
        <v>818.28772023592899</v>
      </c>
      <c r="T42" s="77"/>
    </row>
    <row r="43" spans="1:22" ht="15" customHeight="1">
      <c r="A43" s="1"/>
      <c r="B43" s="83"/>
      <c r="C43" s="1" t="s">
        <v>637</v>
      </c>
      <c r="D43" s="1"/>
      <c r="E43" s="1"/>
      <c r="F43" s="292"/>
      <c r="M43" s="201"/>
      <c r="N43" s="201"/>
      <c r="O43" s="201"/>
      <c r="P43" s="77"/>
      <c r="Q43" s="51" t="s">
        <v>80</v>
      </c>
      <c r="R43" s="289">
        <v>43.791443291950728</v>
      </c>
      <c r="S43" s="382">
        <v>633.66890407361507</v>
      </c>
      <c r="T43" s="77"/>
    </row>
    <row r="44" spans="1:22" ht="15" customHeight="1">
      <c r="A44" s="1"/>
      <c r="B44" s="83"/>
      <c r="C44" s="1" t="s">
        <v>458</v>
      </c>
      <c r="D44" s="1"/>
      <c r="E44" s="1"/>
      <c r="F44" s="292"/>
      <c r="M44" s="201"/>
      <c r="N44" s="201"/>
      <c r="O44" s="201"/>
      <c r="P44" s="77"/>
      <c r="Q44" s="51" t="s">
        <v>250</v>
      </c>
      <c r="R44" s="289">
        <f>100-R43-R45</f>
        <v>40.096337966094055</v>
      </c>
      <c r="S44" s="382">
        <v>290.10008150393969</v>
      </c>
      <c r="T44" s="431">
        <f>(R47-(0.2*S43)-(0.4*S45))/0.4</f>
        <v>290.10008150393969</v>
      </c>
    </row>
    <row r="45" spans="1:22" ht="15" customHeight="1">
      <c r="A45" s="1"/>
      <c r="B45" s="83"/>
      <c r="C45" s="1" t="s">
        <v>190</v>
      </c>
      <c r="D45" s="1"/>
      <c r="E45" s="1"/>
      <c r="F45" s="292"/>
      <c r="M45" s="201"/>
      <c r="N45" s="201"/>
      <c r="O45" s="201"/>
      <c r="P45" s="77"/>
      <c r="Q45" s="51" t="s">
        <v>251</v>
      </c>
      <c r="R45" s="289">
        <v>16.112218741955214</v>
      </c>
      <c r="S45" s="382">
        <v>116.57313877898299</v>
      </c>
      <c r="T45" s="77"/>
    </row>
    <row r="46" spans="1:22" ht="15" customHeight="1">
      <c r="A46" s="1"/>
      <c r="B46" s="83"/>
      <c r="C46" s="1" t="s">
        <v>498</v>
      </c>
      <c r="D46" s="1"/>
      <c r="E46" s="1"/>
      <c r="F46" s="292"/>
      <c r="M46" s="201"/>
      <c r="N46" s="201"/>
      <c r="O46" s="201"/>
      <c r="P46" s="77"/>
      <c r="Q46" s="51"/>
      <c r="R46" s="289"/>
      <c r="S46" s="289"/>
      <c r="T46" s="77"/>
      <c r="V46" s="1">
        <f>S45*R44/R45</f>
        <v>290.10008150393816</v>
      </c>
    </row>
    <row r="47" spans="1:22" ht="15" customHeight="1">
      <c r="A47" s="1"/>
      <c r="B47" s="83"/>
      <c r="C47" s="1" t="s">
        <v>685</v>
      </c>
      <c r="D47" s="1"/>
      <c r="E47" s="1"/>
      <c r="F47" s="292"/>
      <c r="M47" s="201"/>
      <c r="N47" s="201"/>
      <c r="O47" s="201"/>
      <c r="P47" s="77"/>
      <c r="Q47" s="51" t="s">
        <v>307</v>
      </c>
      <c r="R47" s="382">
        <v>289.40306892789209</v>
      </c>
      <c r="S47" s="289"/>
      <c r="T47" s="77"/>
    </row>
    <row r="48" spans="1:22" ht="15" customHeight="1">
      <c r="A48" s="1"/>
      <c r="B48" s="83"/>
      <c r="C48" s="1" t="s">
        <v>679</v>
      </c>
      <c r="D48" s="1"/>
      <c r="E48" s="1"/>
      <c r="F48" s="292"/>
      <c r="M48" s="201"/>
      <c r="N48" s="201"/>
      <c r="O48" s="201"/>
      <c r="P48" s="77"/>
      <c r="Q48" s="1" t="s">
        <v>390</v>
      </c>
      <c r="R48" s="439">
        <v>273.59431087753222</v>
      </c>
      <c r="S48" s="172"/>
      <c r="T48" s="77"/>
    </row>
    <row r="49" spans="1:20" ht="15" customHeight="1">
      <c r="A49" s="1"/>
      <c r="B49" s="83"/>
      <c r="C49" s="1" t="s">
        <v>122</v>
      </c>
      <c r="D49" s="1"/>
      <c r="E49" s="1"/>
      <c r="F49" s="292"/>
      <c r="M49" s="201"/>
      <c r="N49" s="201"/>
      <c r="O49" s="201"/>
      <c r="P49" s="77"/>
      <c r="Q49" s="77"/>
      <c r="R49" s="77"/>
      <c r="S49" s="77"/>
      <c r="T49" s="77"/>
    </row>
    <row r="50" spans="1:20" ht="15" customHeight="1">
      <c r="A50" s="1"/>
      <c r="B50" s="83"/>
      <c r="C50" s="1" t="s">
        <v>570</v>
      </c>
      <c r="D50" s="1"/>
      <c r="E50" s="1"/>
      <c r="F50" s="292"/>
      <c r="M50" s="201"/>
      <c r="N50" s="201"/>
      <c r="O50" s="201"/>
      <c r="Q50" s="223"/>
    </row>
    <row r="51" spans="1:20" ht="15" customHeight="1">
      <c r="A51" s="1"/>
      <c r="B51" s="83"/>
      <c r="C51" s="1" t="s">
        <v>684</v>
      </c>
      <c r="D51" s="1"/>
      <c r="E51" s="1"/>
      <c r="F51" s="292"/>
      <c r="M51" s="201"/>
      <c r="N51" s="201"/>
      <c r="O51" s="201"/>
    </row>
    <row r="52" spans="1:20" ht="15" customHeight="1">
      <c r="A52" s="1"/>
      <c r="B52" s="83"/>
      <c r="C52" s="1"/>
      <c r="D52" s="1"/>
      <c r="E52" s="1"/>
      <c r="F52" s="292"/>
      <c r="M52" s="201"/>
      <c r="N52" s="201"/>
      <c r="O52" s="201"/>
    </row>
    <row r="53" spans="1:20" ht="15" customHeight="1">
      <c r="A53" s="1"/>
      <c r="B53" s="83"/>
      <c r="H53" s="200"/>
      <c r="I53" s="201"/>
      <c r="K53" s="200"/>
      <c r="M53" s="201"/>
      <c r="N53" s="201"/>
      <c r="O53" s="201"/>
    </row>
    <row r="54" spans="1:20">
      <c r="H54" s="201"/>
      <c r="I54" s="201"/>
      <c r="J54" s="201"/>
      <c r="K54" s="201"/>
      <c r="M54" s="201"/>
      <c r="N54" s="201"/>
      <c r="O54" s="201"/>
    </row>
    <row r="55" spans="1:20">
      <c r="H55" s="201"/>
      <c r="I55" s="201"/>
      <c r="J55" s="201"/>
      <c r="K55" s="201"/>
      <c r="M55" s="201"/>
      <c r="N55" s="201"/>
      <c r="O55" s="201"/>
    </row>
    <row r="56" spans="1:20">
      <c r="H56" s="201"/>
      <c r="I56" s="201"/>
      <c r="J56" s="201"/>
      <c r="K56" s="201"/>
      <c r="M56" s="201"/>
      <c r="N56" s="201"/>
      <c r="O56" s="201"/>
    </row>
    <row r="57" spans="1:20">
      <c r="H57" s="201"/>
      <c r="I57" s="201"/>
      <c r="J57" s="201"/>
      <c r="K57" s="201"/>
      <c r="M57" s="201"/>
      <c r="N57" s="201"/>
      <c r="O57" s="201"/>
    </row>
    <row r="58" spans="1:20">
      <c r="H58" s="201"/>
      <c r="I58" s="201"/>
      <c r="J58" s="201"/>
      <c r="K58" s="201"/>
      <c r="M58" s="201"/>
      <c r="N58" s="201"/>
      <c r="O58" s="201"/>
    </row>
    <row r="59" spans="1:20">
      <c r="H59" s="201"/>
      <c r="I59" s="201"/>
      <c r="J59" s="201"/>
      <c r="K59" s="201"/>
      <c r="M59" s="201"/>
      <c r="N59" s="201"/>
      <c r="O59" s="201"/>
    </row>
    <row r="60" spans="1:20">
      <c r="H60" s="201"/>
      <c r="I60" s="201"/>
      <c r="J60" s="201"/>
      <c r="K60" s="201"/>
      <c r="M60" s="201"/>
      <c r="N60" s="201"/>
      <c r="O60" s="201"/>
    </row>
    <row r="61" spans="1:20">
      <c r="H61" s="201"/>
      <c r="I61" s="201"/>
      <c r="J61" s="201"/>
      <c r="K61" s="201"/>
    </row>
    <row r="62" spans="1:20">
      <c r="H62" s="201"/>
      <c r="I62" s="201"/>
      <c r="J62" s="201"/>
      <c r="K62" s="201"/>
    </row>
    <row r="63" spans="1:20">
      <c r="H63" s="201"/>
      <c r="I63" s="201"/>
      <c r="J63" s="201"/>
      <c r="K63" s="201"/>
    </row>
    <row r="64" spans="1:20">
      <c r="H64" s="201"/>
      <c r="I64" s="201"/>
      <c r="J64" s="201"/>
      <c r="K64" s="201"/>
    </row>
    <row r="65" spans="8:11">
      <c r="H65" s="201"/>
      <c r="I65" s="201"/>
      <c r="J65" s="201"/>
      <c r="K65" s="201"/>
    </row>
    <row r="66" spans="8:11">
      <c r="H66" s="201"/>
      <c r="I66" s="201"/>
      <c r="J66" s="201"/>
      <c r="K66" s="201"/>
    </row>
    <row r="67" spans="8:11">
      <c r="H67" s="201"/>
      <c r="I67" s="201"/>
      <c r="J67" s="201"/>
      <c r="K67" s="201"/>
    </row>
    <row r="68" spans="8:11">
      <c r="H68" s="201"/>
      <c r="I68" s="201"/>
      <c r="J68" s="201"/>
      <c r="K68" s="201"/>
    </row>
    <row r="69" spans="8:11">
      <c r="H69" s="201"/>
      <c r="I69" s="201"/>
      <c r="J69" s="201"/>
      <c r="K69" s="201"/>
    </row>
    <row r="70" spans="8:11">
      <c r="H70" s="201"/>
      <c r="I70" s="201"/>
      <c r="J70" s="201"/>
      <c r="K70" s="201"/>
    </row>
    <row r="71" spans="8:11">
      <c r="H71" s="201"/>
      <c r="I71" s="201"/>
      <c r="J71" s="201"/>
      <c r="K71" s="201"/>
    </row>
    <row r="72" spans="8:11">
      <c r="H72" s="201"/>
      <c r="I72" s="201"/>
      <c r="J72" s="201"/>
      <c r="K72" s="201"/>
    </row>
  </sheetData>
  <sortState ref="A10:XFD35">
    <sortCondition ref="N10:N35"/>
  </sortState>
  <phoneticPr fontId="20"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topLeftCell="O2" zoomScale="125" workbookViewId="0">
      <pane ySplit="4560" topLeftCell="A34" activePane="bottomLeft"/>
      <selection activeCell="X11" sqref="X11:X33"/>
      <selection pane="bottomLeft" activeCell="V36" sqref="V36:X46"/>
    </sheetView>
  </sheetViews>
  <sheetFormatPr baseColWidth="10" defaultRowHeight="15" x14ac:dyDescent="0"/>
  <cols>
    <col min="1" max="1" width="8.5" style="1" customWidth="1"/>
    <col min="2" max="2" width="10.83203125" style="83"/>
    <col min="3" max="4" width="10.83203125" style="1"/>
    <col min="5" max="5" width="17.33203125" style="1" customWidth="1"/>
    <col min="6" max="6" width="12" style="421" customWidth="1"/>
    <col min="7" max="7" width="11.33203125" style="421" customWidth="1"/>
    <col min="8" max="8" width="10.83203125" style="1"/>
    <col min="9" max="9" width="13.83203125" style="134" customWidth="1"/>
    <col min="10" max="10" width="10.83203125" style="138"/>
    <col min="11" max="11" width="12.83203125" style="386" customWidth="1"/>
    <col min="12" max="12" width="6.5" style="1" customWidth="1"/>
    <col min="13" max="13" width="10.83203125" style="138"/>
    <col min="14" max="14" width="12.33203125" style="393" bestFit="1" customWidth="1"/>
    <col min="15" max="15" width="4.83203125" style="1" customWidth="1"/>
    <col min="16" max="16" width="12.83203125" style="1" customWidth="1"/>
    <col min="17" max="17" width="14.6640625" style="1" customWidth="1"/>
    <col min="18" max="18" width="12.6640625" style="1" customWidth="1"/>
    <col min="19" max="19" width="7" style="1" customWidth="1"/>
    <col min="20" max="21" width="9.5" style="1" customWidth="1"/>
    <col min="22" max="22" width="12" style="1" customWidth="1"/>
    <col min="23" max="23" width="13.1640625" style="1" customWidth="1"/>
    <col min="24" max="24" width="12" style="1" customWidth="1"/>
    <col min="25" max="25" width="8.1640625" style="1" customWidth="1"/>
    <col min="26" max="26" width="10.83203125" style="1"/>
    <col min="27" max="27" width="14" style="1" customWidth="1"/>
    <col min="28" max="16384" width="10.83203125" style="1"/>
  </cols>
  <sheetData>
    <row r="1" spans="1:26" ht="17">
      <c r="A1" t="s">
        <v>532</v>
      </c>
      <c r="C1" s="34" t="s">
        <v>151</v>
      </c>
      <c r="H1" s="138"/>
      <c r="P1" s="8" t="s">
        <v>403</v>
      </c>
      <c r="Q1" s="8" t="s">
        <v>403</v>
      </c>
      <c r="R1" s="8" t="s">
        <v>403</v>
      </c>
      <c r="S1" s="8"/>
      <c r="T1" s="8"/>
      <c r="U1" s="8"/>
      <c r="V1" s="8" t="s">
        <v>403</v>
      </c>
      <c r="W1" s="8" t="s">
        <v>403</v>
      </c>
      <c r="X1" s="8" t="s">
        <v>403</v>
      </c>
    </row>
    <row r="2" spans="1:26">
      <c r="A2" s="36">
        <v>40575</v>
      </c>
      <c r="C2" s="1" t="s">
        <v>382</v>
      </c>
      <c r="H2" s="138"/>
      <c r="R2" s="157" t="s">
        <v>21</v>
      </c>
    </row>
    <row r="3" spans="1:26">
      <c r="A3" s="1" t="s">
        <v>143</v>
      </c>
      <c r="B3" s="218"/>
      <c r="C3" s="1" t="s">
        <v>680</v>
      </c>
      <c r="H3" s="138"/>
      <c r="R3" s="157" t="s">
        <v>184</v>
      </c>
    </row>
    <row r="4" spans="1:26">
      <c r="B4" s="218"/>
      <c r="C4" s="50"/>
      <c r="I4" s="1"/>
      <c r="J4" s="50"/>
      <c r="K4" s="387"/>
      <c r="L4" s="50"/>
      <c r="M4" s="50"/>
      <c r="N4" s="394"/>
      <c r="O4" s="50"/>
      <c r="P4" s="275" t="s">
        <v>227</v>
      </c>
      <c r="R4" s="157"/>
      <c r="V4" s="275" t="s">
        <v>227</v>
      </c>
    </row>
    <row r="5" spans="1:26">
      <c r="B5" s="218"/>
      <c r="C5" s="43"/>
      <c r="D5" s="43"/>
      <c r="E5" s="43"/>
      <c r="F5" s="422"/>
      <c r="G5" s="422"/>
      <c r="H5" s="43"/>
      <c r="I5" s="43"/>
      <c r="J5" s="81" t="s">
        <v>518</v>
      </c>
      <c r="M5" s="81"/>
      <c r="P5" s="275" t="s">
        <v>337</v>
      </c>
      <c r="V5" s="275" t="s">
        <v>337</v>
      </c>
    </row>
    <row r="6" spans="1:26">
      <c r="B6" s="1"/>
      <c r="F6" s="423" t="s">
        <v>152</v>
      </c>
      <c r="G6" s="423" t="s">
        <v>276</v>
      </c>
      <c r="H6" s="178" t="s">
        <v>605</v>
      </c>
      <c r="J6" s="81" t="s">
        <v>448</v>
      </c>
      <c r="M6" s="81" t="s">
        <v>449</v>
      </c>
      <c r="P6" s="55" t="s">
        <v>131</v>
      </c>
      <c r="V6" s="55" t="s">
        <v>36</v>
      </c>
    </row>
    <row r="7" spans="1:26">
      <c r="F7" s="424" t="s">
        <v>153</v>
      </c>
      <c r="G7" s="425" t="s">
        <v>154</v>
      </c>
      <c r="H7" s="41" t="s">
        <v>479</v>
      </c>
      <c r="I7" s="40" t="s">
        <v>391</v>
      </c>
      <c r="J7" s="149" t="s">
        <v>479</v>
      </c>
      <c r="K7" s="389" t="s">
        <v>62</v>
      </c>
      <c r="M7" s="149" t="s">
        <v>479</v>
      </c>
      <c r="N7" s="395" t="s">
        <v>474</v>
      </c>
      <c r="O7" s="39"/>
      <c r="P7" s="1" t="s">
        <v>209</v>
      </c>
      <c r="V7" s="1" t="s">
        <v>209</v>
      </c>
    </row>
    <row r="8" spans="1:26">
      <c r="B8" s="54" t="s">
        <v>632</v>
      </c>
      <c r="C8" s="1" t="s">
        <v>480</v>
      </c>
      <c r="F8" s="424" t="s">
        <v>353</v>
      </c>
      <c r="G8" s="424" t="s">
        <v>661</v>
      </c>
      <c r="H8" s="150" t="s">
        <v>614</v>
      </c>
      <c r="I8" s="115" t="s">
        <v>319</v>
      </c>
      <c r="J8" s="150" t="s">
        <v>614</v>
      </c>
      <c r="K8" s="390" t="s">
        <v>208</v>
      </c>
      <c r="M8" s="150" t="s">
        <v>614</v>
      </c>
      <c r="N8" s="396" t="s">
        <v>243</v>
      </c>
      <c r="O8" s="115"/>
      <c r="P8" s="8" t="s">
        <v>520</v>
      </c>
      <c r="Q8" s="8" t="s">
        <v>520</v>
      </c>
      <c r="R8" s="8" t="s">
        <v>282</v>
      </c>
      <c r="V8" s="8" t="s">
        <v>520</v>
      </c>
      <c r="W8" s="8" t="s">
        <v>520</v>
      </c>
      <c r="X8" s="8" t="s">
        <v>282</v>
      </c>
    </row>
    <row r="9" spans="1:26" s="3" customFormat="1">
      <c r="A9" s="9" t="s">
        <v>291</v>
      </c>
      <c r="B9" s="175" t="s">
        <v>292</v>
      </c>
      <c r="C9" s="3" t="s">
        <v>293</v>
      </c>
      <c r="D9" s="3" t="s">
        <v>376</v>
      </c>
      <c r="F9" s="426" t="s">
        <v>377</v>
      </c>
      <c r="G9" s="426" t="s">
        <v>377</v>
      </c>
      <c r="H9" s="176" t="s">
        <v>377</v>
      </c>
      <c r="I9" s="290" t="s">
        <v>377</v>
      </c>
      <c r="J9" s="176" t="s">
        <v>377</v>
      </c>
      <c r="K9" s="391" t="s">
        <v>377</v>
      </c>
      <c r="M9" s="176" t="s">
        <v>377</v>
      </c>
      <c r="N9" s="397" t="s">
        <v>377</v>
      </c>
      <c r="O9" s="179"/>
      <c r="P9" s="9" t="s">
        <v>378</v>
      </c>
      <c r="Q9" s="9" t="s">
        <v>379</v>
      </c>
      <c r="R9" s="9" t="s">
        <v>75</v>
      </c>
      <c r="T9" s="370" t="s">
        <v>622</v>
      </c>
      <c r="V9" s="9" t="s">
        <v>378</v>
      </c>
      <c r="W9" s="9" t="s">
        <v>379</v>
      </c>
      <c r="X9" s="9" t="s">
        <v>75</v>
      </c>
      <c r="Z9" s="370" t="s">
        <v>622</v>
      </c>
    </row>
    <row r="10" spans="1:26">
      <c r="A10" s="1">
        <v>3</v>
      </c>
      <c r="B10" s="154" t="s">
        <v>533</v>
      </c>
      <c r="C10" s="1" t="s">
        <v>551</v>
      </c>
      <c r="D10" s="1" t="s">
        <v>552</v>
      </c>
      <c r="F10" s="421">
        <v>159.4840128206024</v>
      </c>
      <c r="G10" s="421">
        <v>159.4840128206024</v>
      </c>
      <c r="H10" s="138">
        <v>48.55</v>
      </c>
      <c r="I10" s="134">
        <v>7742.9488224402457</v>
      </c>
      <c r="J10" s="283"/>
      <c r="M10" s="281">
        <f t="shared" ref="M10:M33" si="0">N10/G10</f>
        <v>48.55</v>
      </c>
      <c r="N10" s="393">
        <f t="shared" ref="N10:N33" si="1">I10+K10</f>
        <v>7742.9488224402457</v>
      </c>
      <c r="P10" s="284">
        <f>G10/G$36</f>
        <v>6.6390376460390707E-4</v>
      </c>
      <c r="Q10" s="285">
        <f>N10/N36</f>
        <v>7.8359186238340165E-5</v>
      </c>
      <c r="R10" s="157">
        <f>P10*(P10-Q10)</f>
        <v>3.8874524992030739E-7</v>
      </c>
      <c r="V10" s="287">
        <v>1.1409368633244813E-3</v>
      </c>
      <c r="W10" s="287">
        <v>8.9373553179164489E-5</v>
      </c>
      <c r="X10" s="157">
        <f>V10*(V10-W10)</f>
        <v>1.1997673446643064E-6</v>
      </c>
    </row>
    <row r="11" spans="1:26">
      <c r="A11" s="1">
        <v>3</v>
      </c>
      <c r="B11" s="153" t="s">
        <v>354</v>
      </c>
      <c r="C11" s="1" t="s">
        <v>551</v>
      </c>
      <c r="D11" s="1" t="s">
        <v>552</v>
      </c>
      <c r="F11" s="421">
        <v>88.064721726642944</v>
      </c>
      <c r="G11" s="421">
        <v>88.064721726642944</v>
      </c>
      <c r="H11" s="354">
        <v>59.94</v>
      </c>
      <c r="I11" s="330">
        <v>5278.5994202949778</v>
      </c>
      <c r="J11" s="354"/>
      <c r="K11" s="393">
        <v>0</v>
      </c>
      <c r="M11" s="354">
        <f t="shared" si="0"/>
        <v>59.94</v>
      </c>
      <c r="N11" s="393">
        <f t="shared" si="1"/>
        <v>5278.5994202949778</v>
      </c>
      <c r="P11" s="284">
        <f>(G11/G$36)+P10</f>
        <v>1.0305016401469594E-3</v>
      </c>
      <c r="Q11" s="285">
        <f>(N11/N$36)+Q10</f>
        <v>1.3177898333860451E-4</v>
      </c>
      <c r="R11" s="157">
        <f>(P11-P10)*(P11-Q11+P10-Q10)</f>
        <v>5.4412921515291973E-7</v>
      </c>
      <c r="V11" s="307">
        <v>1.7709453864318181E-3</v>
      </c>
      <c r="W11" s="307">
        <v>1.5030217311708618E-4</v>
      </c>
      <c r="X11" s="157">
        <f>(V11-V10)*(V11-W11+V10-W10)</f>
        <v>1.6835128852828562E-6</v>
      </c>
    </row>
    <row r="12" spans="1:26">
      <c r="A12" s="1">
        <v>3</v>
      </c>
      <c r="B12" s="154" t="s">
        <v>533</v>
      </c>
      <c r="C12" s="1" t="s">
        <v>20</v>
      </c>
      <c r="D12" s="1" t="s">
        <v>608</v>
      </c>
      <c r="F12" s="427">
        <v>228698.23062868664</v>
      </c>
      <c r="G12" s="427">
        <v>88938.200800044797</v>
      </c>
      <c r="H12" s="385">
        <v>117.10285714285716</v>
      </c>
      <c r="I12" s="381">
        <f>G12*H12</f>
        <v>10414917.42283039</v>
      </c>
      <c r="J12" s="288">
        <v>0</v>
      </c>
      <c r="K12" s="392">
        <v>0</v>
      </c>
      <c r="L12" s="288"/>
      <c r="M12" s="354">
        <f t="shared" si="0"/>
        <v>117.10285714285716</v>
      </c>
      <c r="N12" s="393">
        <f t="shared" si="1"/>
        <v>10414917.42283039</v>
      </c>
      <c r="P12" s="307">
        <f t="shared" ref="P12:P33" si="2">(G12/G$36)+P11</f>
        <v>0.37126451622232992</v>
      </c>
      <c r="Q12" s="307">
        <f t="shared" ref="Q12:Q33" si="3">(N12/N$36)+Q11</f>
        <v>0.10553147523695522</v>
      </c>
      <c r="R12" s="157">
        <f>(P12-P11)*(P12-Q12+P11-Q11)</f>
        <v>9.8716148268373161E-2</v>
      </c>
      <c r="V12" s="357">
        <v>1.7709453864318181E-3</v>
      </c>
      <c r="W12" s="357">
        <v>1.5030217311708618E-4</v>
      </c>
      <c r="X12" s="157">
        <f t="shared" ref="X12:X33" si="4">(V12-V11)*(V12-W12+V11-W11)</f>
        <v>0</v>
      </c>
    </row>
    <row r="13" spans="1:26">
      <c r="A13" s="1">
        <v>3</v>
      </c>
      <c r="B13" s="154" t="s">
        <v>533</v>
      </c>
      <c r="C13" s="1" t="s">
        <v>664</v>
      </c>
      <c r="D13" s="1" t="s">
        <v>665</v>
      </c>
      <c r="F13" s="421">
        <v>6921.9195493771931</v>
      </c>
      <c r="G13" s="421">
        <v>6921.9195493771931</v>
      </c>
      <c r="H13" s="354">
        <v>106.84</v>
      </c>
      <c r="I13" s="330">
        <v>739537.88465545932</v>
      </c>
      <c r="J13" s="354">
        <v>18.121918392179175</v>
      </c>
      <c r="K13" s="386">
        <v>125438.46119104314</v>
      </c>
      <c r="M13" s="354">
        <f t="shared" si="0"/>
        <v>124.96191839217917</v>
      </c>
      <c r="N13" s="393">
        <f t="shared" si="1"/>
        <v>864976.34584650246</v>
      </c>
      <c r="P13" s="307">
        <f t="shared" si="2"/>
        <v>0.40007924420566826</v>
      </c>
      <c r="Q13" s="307">
        <f t="shared" si="3"/>
        <v>0.11428509664531473</v>
      </c>
      <c r="R13" s="157">
        <v>1.5892105913360516E-2</v>
      </c>
      <c r="T13" s="50">
        <f>(0.4-P12)/(P13-P12)</f>
        <v>0.99724987146454891</v>
      </c>
      <c r="U13" s="50">
        <f>100*(Q12+(T13*(Q13-Q12)))</f>
        <v>11.426102306129108</v>
      </c>
      <c r="V13" s="307">
        <v>5.1289847244854414E-2</v>
      </c>
      <c r="W13" s="307">
        <v>1.0134354918007659E-2</v>
      </c>
      <c r="X13" s="157">
        <f t="shared" si="4"/>
        <v>2.1182272576958394E-3</v>
      </c>
    </row>
    <row r="14" spans="1:26">
      <c r="A14" s="1">
        <v>3</v>
      </c>
      <c r="B14" s="154" t="s">
        <v>533</v>
      </c>
      <c r="C14" s="1" t="s">
        <v>144</v>
      </c>
      <c r="D14" s="1" t="s">
        <v>635</v>
      </c>
      <c r="F14" s="421">
        <v>10810</v>
      </c>
      <c r="G14" s="421">
        <v>10810</v>
      </c>
      <c r="H14" s="269">
        <v>153.28962840000003</v>
      </c>
      <c r="I14" s="255">
        <v>1657060.8830040002</v>
      </c>
      <c r="J14" s="1">
        <v>0</v>
      </c>
      <c r="K14" s="386">
        <v>0</v>
      </c>
      <c r="M14" s="354">
        <f t="shared" si="0"/>
        <v>153.28962840000003</v>
      </c>
      <c r="N14" s="393">
        <f t="shared" si="1"/>
        <v>1657060.8830040002</v>
      </c>
      <c r="P14" s="307">
        <f t="shared" si="2"/>
        <v>0.44507936408251852</v>
      </c>
      <c r="Q14" s="307">
        <f t="shared" si="3"/>
        <v>0.13105466923544545</v>
      </c>
      <c r="R14" s="157">
        <v>2.6991919812727753E-2</v>
      </c>
      <c r="T14"/>
      <c r="U14" s="50">
        <f>100-U13</f>
        <v>88.57389769387089</v>
      </c>
      <c r="V14" s="357">
        <v>5.1289847244854414E-2</v>
      </c>
      <c r="W14" s="357">
        <v>1.0134354918007659E-2</v>
      </c>
      <c r="X14" s="157">
        <f t="shared" si="4"/>
        <v>0</v>
      </c>
    </row>
    <row r="15" spans="1:26">
      <c r="A15" s="1">
        <v>3</v>
      </c>
      <c r="B15" s="154" t="s">
        <v>533</v>
      </c>
      <c r="C15" s="1" t="s">
        <v>19</v>
      </c>
      <c r="D15" s="1" t="s">
        <v>430</v>
      </c>
      <c r="F15" s="421">
        <v>690</v>
      </c>
      <c r="G15" s="421">
        <v>690</v>
      </c>
      <c r="H15" s="269">
        <v>153.28962840000003</v>
      </c>
      <c r="I15" s="255">
        <v>105769.84359600002</v>
      </c>
      <c r="J15" s="1">
        <v>0</v>
      </c>
      <c r="K15" s="386">
        <v>0</v>
      </c>
      <c r="M15" s="354">
        <f t="shared" si="0"/>
        <v>153.28962840000003</v>
      </c>
      <c r="N15" s="393">
        <f t="shared" si="1"/>
        <v>105769.84359600002</v>
      </c>
      <c r="P15" s="307">
        <f t="shared" si="2"/>
        <v>0.44795171215976431</v>
      </c>
      <c r="Q15" s="307">
        <f t="shared" si="3"/>
        <v>0.13212506748587932</v>
      </c>
      <c r="R15" s="157">
        <v>1.8091522840237087E-3</v>
      </c>
      <c r="T15" s="50">
        <f>(SUM(N10:N12)+(T13*N13))/(SUM(G10:G12)+(T13*G13))</f>
        <v>117.50127125565106</v>
      </c>
      <c r="U15" s="50"/>
      <c r="V15" s="357">
        <v>5.1289847244854414E-2</v>
      </c>
      <c r="W15" s="357">
        <v>1.0134354918007659E-2</v>
      </c>
      <c r="X15" s="157">
        <f t="shared" si="4"/>
        <v>0</v>
      </c>
    </row>
    <row r="16" spans="1:26">
      <c r="A16" s="1">
        <v>3</v>
      </c>
      <c r="B16" s="154" t="s">
        <v>533</v>
      </c>
      <c r="C16" s="1" t="s">
        <v>666</v>
      </c>
      <c r="D16" s="1" t="s">
        <v>578</v>
      </c>
      <c r="F16" s="421">
        <v>7721.8719526795594</v>
      </c>
      <c r="G16" s="421">
        <v>7721.8719526795594</v>
      </c>
      <c r="H16" s="269">
        <v>106.84</v>
      </c>
      <c r="I16" s="255">
        <v>825004.79942428414</v>
      </c>
      <c r="J16" s="283">
        <v>106.10534924342122</v>
      </c>
      <c r="K16" s="386">
        <v>819331.92035204358</v>
      </c>
      <c r="M16" s="354">
        <f t="shared" si="0"/>
        <v>212.94534924342122</v>
      </c>
      <c r="N16" s="393">
        <f t="shared" si="1"/>
        <v>1644336.7197763277</v>
      </c>
      <c r="P16" s="307">
        <f t="shared" si="2"/>
        <v>0.48009650064674564</v>
      </c>
      <c r="Q16" s="307">
        <f t="shared" si="3"/>
        <v>0.14876587064992336</v>
      </c>
      <c r="R16" s="157">
        <v>2.0802733712101163E-2</v>
      </c>
      <c r="V16" s="287">
        <v>0.1065315495877327</v>
      </c>
      <c r="W16" s="287">
        <v>2.9114231789138391E-2</v>
      </c>
      <c r="X16" s="157">
        <f t="shared" si="4"/>
        <v>6.5501638829082399E-3</v>
      </c>
    </row>
    <row r="17" spans="1:27">
      <c r="A17" s="1">
        <v>3</v>
      </c>
      <c r="B17" s="153" t="s">
        <v>354</v>
      </c>
      <c r="C17" s="1" t="s">
        <v>664</v>
      </c>
      <c r="D17" s="1" t="s">
        <v>665</v>
      </c>
      <c r="F17" s="421">
        <v>563.64255215446599</v>
      </c>
      <c r="G17" s="421">
        <v>563.64255215446599</v>
      </c>
      <c r="H17" s="354">
        <v>179.68</v>
      </c>
      <c r="I17" s="330">
        <v>101275.29377111445</v>
      </c>
      <c r="J17" s="354">
        <v>55.019240916873322</v>
      </c>
      <c r="K17" s="386">
        <v>31011.185367987902</v>
      </c>
      <c r="M17" s="354">
        <f t="shared" si="0"/>
        <v>234.69924091687335</v>
      </c>
      <c r="N17" s="393">
        <f t="shared" si="1"/>
        <v>132286.47913910236</v>
      </c>
      <c r="P17" s="307">
        <f t="shared" si="2"/>
        <v>0.48244284499592649</v>
      </c>
      <c r="Q17" s="307">
        <f t="shared" si="3"/>
        <v>0.15010461911557682</v>
      </c>
      <c r="R17" s="157">
        <v>1.5571956697147231E-3</v>
      </c>
      <c r="V17" s="307">
        <v>0.11056380682855532</v>
      </c>
      <c r="W17" s="307">
        <v>3.0641158151347887E-2</v>
      </c>
      <c r="X17" s="157">
        <f t="shared" si="4"/>
        <v>6.3443521909284037E-4</v>
      </c>
    </row>
    <row r="18" spans="1:27">
      <c r="A18" s="1">
        <v>3</v>
      </c>
      <c r="B18" s="154" t="s">
        <v>533</v>
      </c>
      <c r="C18" s="1" t="s">
        <v>459</v>
      </c>
      <c r="D18" s="1" t="s">
        <v>550</v>
      </c>
      <c r="F18" s="421">
        <v>3308.4409481366288</v>
      </c>
      <c r="G18" s="421">
        <v>2297</v>
      </c>
      <c r="H18" s="269">
        <v>208.74217356929245</v>
      </c>
      <c r="I18" s="255">
        <v>479480.77268866473</v>
      </c>
      <c r="J18" s="283">
        <v>90.868449657060921</v>
      </c>
      <c r="K18" s="386">
        <v>208724.82886226894</v>
      </c>
      <c r="M18" s="354">
        <f t="shared" si="0"/>
        <v>299.61062322635337</v>
      </c>
      <c r="N18" s="393">
        <f t="shared" si="1"/>
        <v>688205.60155093367</v>
      </c>
      <c r="P18" s="307">
        <f t="shared" si="2"/>
        <v>0.49200485011684464</v>
      </c>
      <c r="Q18" s="307">
        <f t="shared" si="3"/>
        <v>0.15706930816865555</v>
      </c>
      <c r="R18" s="157">
        <v>6.3804751850308353E-3</v>
      </c>
      <c r="V18" s="287">
        <v>0.12699637538954517</v>
      </c>
      <c r="W18" s="287">
        <v>3.858482164943966E-2</v>
      </c>
      <c r="X18" s="157">
        <f t="shared" si="4"/>
        <v>2.7661633223820376E-3</v>
      </c>
    </row>
    <row r="19" spans="1:27">
      <c r="A19" s="1">
        <v>3</v>
      </c>
      <c r="B19" s="154" t="s">
        <v>533</v>
      </c>
      <c r="C19" s="1" t="s">
        <v>554</v>
      </c>
      <c r="D19" s="1" t="s">
        <v>555</v>
      </c>
      <c r="F19" s="421">
        <v>6940.9564340750603</v>
      </c>
      <c r="G19" s="421">
        <v>4819</v>
      </c>
      <c r="H19" s="269">
        <v>282.63217356929243</v>
      </c>
      <c r="I19" s="255">
        <v>1362004.4444304202</v>
      </c>
      <c r="J19" s="283">
        <v>38.896449405717114</v>
      </c>
      <c r="K19" s="386">
        <v>187441.98968615077</v>
      </c>
      <c r="M19" s="354">
        <f t="shared" si="0"/>
        <v>321.52862297500957</v>
      </c>
      <c r="N19" s="393">
        <f t="shared" si="1"/>
        <v>1549446.434116571</v>
      </c>
      <c r="P19" s="307">
        <f t="shared" si="2"/>
        <v>0.51206549560126102</v>
      </c>
      <c r="Q19" s="307">
        <f t="shared" si="3"/>
        <v>0.17274981497316885</v>
      </c>
      <c r="R19" s="157">
        <v>1.35259147435371E-2</v>
      </c>
      <c r="V19" s="287">
        <v>0.16147114591432099</v>
      </c>
      <c r="W19" s="287">
        <v>5.6469420457125094E-2</v>
      </c>
      <c r="X19" s="157">
        <f t="shared" si="4"/>
        <v>6.6678784167713626E-3</v>
      </c>
    </row>
    <row r="20" spans="1:27">
      <c r="A20" s="1">
        <v>3</v>
      </c>
      <c r="B20" s="154" t="s">
        <v>533</v>
      </c>
      <c r="C20" s="1" t="s">
        <v>565</v>
      </c>
      <c r="D20" s="1" t="s">
        <v>483</v>
      </c>
      <c r="F20" s="421">
        <v>4254.1032524834773</v>
      </c>
      <c r="G20" s="421">
        <v>2953.5588889558767</v>
      </c>
      <c r="H20" s="269">
        <v>344.71217356929247</v>
      </c>
      <c r="I20" s="255">
        <v>1018127.7043768847</v>
      </c>
      <c r="J20" s="354">
        <v>38.896449405717114</v>
      </c>
      <c r="K20" s="386">
        <v>114882.9538910783</v>
      </c>
      <c r="M20" s="354">
        <f t="shared" si="0"/>
        <v>383.60862297500955</v>
      </c>
      <c r="N20" s="393">
        <f t="shared" si="1"/>
        <v>1133010.658267963</v>
      </c>
      <c r="P20" s="307">
        <f t="shared" si="2"/>
        <v>0.52436063936318067</v>
      </c>
      <c r="Q20" s="307">
        <f t="shared" si="3"/>
        <v>0.18421596246002045</v>
      </c>
      <c r="R20" s="157">
        <v>8.3540627763720697E-3</v>
      </c>
      <c r="V20" s="307">
        <v>0.18260068833560461</v>
      </c>
      <c r="W20" s="307">
        <v>6.9547278859831002E-2</v>
      </c>
      <c r="X20" s="157">
        <f t="shared" si="4"/>
        <v>4.6074052237449021E-3</v>
      </c>
    </row>
    <row r="21" spans="1:27">
      <c r="A21" s="1">
        <v>3</v>
      </c>
      <c r="B21" s="153" t="s">
        <v>354</v>
      </c>
      <c r="C21" s="1" t="s">
        <v>666</v>
      </c>
      <c r="D21" s="1" t="s">
        <v>578</v>
      </c>
      <c r="F21" s="421">
        <v>193.24887502438833</v>
      </c>
      <c r="G21" s="421">
        <v>193.24887502438833</v>
      </c>
      <c r="H21" s="269">
        <v>179.68</v>
      </c>
      <c r="I21" s="255">
        <v>34722.957864382093</v>
      </c>
      <c r="J21" s="354">
        <v>204.19281760000001</v>
      </c>
      <c r="K21" s="386">
        <v>39460.032289260125</v>
      </c>
      <c r="M21" s="354">
        <f t="shared" si="0"/>
        <v>383.87281760000008</v>
      </c>
      <c r="N21" s="393">
        <f t="shared" si="1"/>
        <v>74182.990153642226</v>
      </c>
      <c r="P21" s="307">
        <f t="shared" si="2"/>
        <v>0.52516510028289987</v>
      </c>
      <c r="Q21" s="307">
        <f t="shared" si="3"/>
        <v>0.18496669953377193</v>
      </c>
      <c r="R21" s="157">
        <v>5.4730941797274848E-4</v>
      </c>
      <c r="V21" s="307">
        <v>0.18398317653245808</v>
      </c>
      <c r="W21" s="307">
        <v>7.0403541450159798E-2</v>
      </c>
      <c r="X21" s="157">
        <f t="shared" si="4"/>
        <v>3.1331750911849988E-4</v>
      </c>
    </row>
    <row r="22" spans="1:27">
      <c r="A22" s="1">
        <v>3</v>
      </c>
      <c r="B22" s="153" t="s">
        <v>354</v>
      </c>
      <c r="C22" s="1" t="s">
        <v>459</v>
      </c>
      <c r="D22" s="1" t="s">
        <v>550</v>
      </c>
      <c r="F22" s="421">
        <v>271.08913796166109</v>
      </c>
      <c r="G22" s="421">
        <v>138</v>
      </c>
      <c r="H22" s="354">
        <v>361.71299591041128</v>
      </c>
      <c r="I22" s="330">
        <v>49916.393435636754</v>
      </c>
      <c r="J22" s="354">
        <v>64.491532800000002</v>
      </c>
      <c r="K22" s="393">
        <v>8899.8315263999993</v>
      </c>
      <c r="M22" s="354">
        <f t="shared" si="0"/>
        <v>426.20452871041124</v>
      </c>
      <c r="N22" s="393">
        <f t="shared" si="1"/>
        <v>58816.224962036751</v>
      </c>
      <c r="P22" s="307">
        <f t="shared" si="2"/>
        <v>0.52573956989834902</v>
      </c>
      <c r="Q22" s="307">
        <f t="shared" si="3"/>
        <v>0.18556192386384621</v>
      </c>
      <c r="R22" s="157">
        <v>3.9085536595661073E-4</v>
      </c>
      <c r="V22" s="307">
        <v>0.1849704183528397</v>
      </c>
      <c r="W22" s="307">
        <v>7.1082432029186723E-2</v>
      </c>
      <c r="X22" s="157">
        <f t="shared" si="4"/>
        <v>2.2456554863468925E-4</v>
      </c>
    </row>
    <row r="23" spans="1:27">
      <c r="A23" s="1">
        <v>3</v>
      </c>
      <c r="B23" s="154" t="s">
        <v>533</v>
      </c>
      <c r="C23" s="1" t="s">
        <v>634</v>
      </c>
      <c r="D23" s="1" t="s">
        <v>543</v>
      </c>
      <c r="F23" s="421">
        <v>58337.742317817203</v>
      </c>
      <c r="G23" s="421">
        <v>40503.003137927604</v>
      </c>
      <c r="H23" s="269">
        <v>403.90217358181422</v>
      </c>
      <c r="I23" s="255">
        <v>16359251.004000001</v>
      </c>
      <c r="J23" s="283">
        <v>22.960371636686205</v>
      </c>
      <c r="K23" s="386">
        <v>929964.00444868533</v>
      </c>
      <c r="M23" s="354">
        <f t="shared" si="0"/>
        <v>426.86254521850043</v>
      </c>
      <c r="N23" s="393">
        <f t="shared" si="1"/>
        <v>17289215.008448686</v>
      </c>
      <c r="P23" s="307">
        <f t="shared" si="2"/>
        <v>0.69434641509531347</v>
      </c>
      <c r="Q23" s="307">
        <f t="shared" si="3"/>
        <v>0.36052999479250974</v>
      </c>
      <c r="R23" s="157">
        <v>0.11364001320660683</v>
      </c>
      <c r="V23" s="287">
        <v>0.47472591508335016</v>
      </c>
      <c r="W23" s="287">
        <v>0.27064446096903672</v>
      </c>
      <c r="X23" s="157">
        <f t="shared" si="4"/>
        <v>9.2133393159225419E-2</v>
      </c>
      <c r="Z23" s="50">
        <f>(0.4-V22)/(V23-V22)</f>
        <v>0.74210699735974428</v>
      </c>
      <c r="AA23" s="50">
        <f>100*(W22+(Z23*(W23-W22)))</f>
        <v>21.917881011275718</v>
      </c>
    </row>
    <row r="24" spans="1:27">
      <c r="A24" s="1">
        <v>3</v>
      </c>
      <c r="B24" s="154" t="s">
        <v>533</v>
      </c>
      <c r="C24" s="1" t="s">
        <v>429</v>
      </c>
      <c r="D24" s="1" t="s">
        <v>478</v>
      </c>
      <c r="F24" s="421">
        <v>4513.6963882372447</v>
      </c>
      <c r="G24" s="421">
        <v>3133.7904367373903</v>
      </c>
      <c r="H24" s="269">
        <v>419.30514454340482</v>
      </c>
      <c r="I24" s="255">
        <v>1314014.4520449112</v>
      </c>
      <c r="J24" s="283">
        <v>88.326184172558484</v>
      </c>
      <c r="K24" s="386">
        <v>276795.75127346924</v>
      </c>
      <c r="M24" s="354">
        <f t="shared" si="0"/>
        <v>507.63132871596332</v>
      </c>
      <c r="N24" s="393">
        <f t="shared" si="1"/>
        <v>1590810.2033183805</v>
      </c>
      <c r="P24" s="307">
        <f t="shared" si="2"/>
        <v>0.70739183094379721</v>
      </c>
      <c r="Q24" s="307">
        <f t="shared" si="3"/>
        <v>0.37662910584828851</v>
      </c>
      <c r="R24" s="157">
        <v>8.6697113159509183E-3</v>
      </c>
      <c r="V24" s="287">
        <v>0.49714482070261945</v>
      </c>
      <c r="W24" s="287">
        <v>0.28900650410849077</v>
      </c>
      <c r="X24" s="157">
        <f t="shared" si="4"/>
        <v>9.241516133909394E-3</v>
      </c>
      <c r="Z24"/>
      <c r="AA24" s="50">
        <f>100-AA23</f>
        <v>78.082118988724289</v>
      </c>
    </row>
    <row r="25" spans="1:27">
      <c r="A25" s="1">
        <v>3</v>
      </c>
      <c r="B25" s="153" t="s">
        <v>354</v>
      </c>
      <c r="C25" s="1" t="s">
        <v>429</v>
      </c>
      <c r="D25" s="1" t="s">
        <v>478</v>
      </c>
      <c r="F25" s="421">
        <v>1828.8650050995996</v>
      </c>
      <c r="G25" s="421">
        <v>930.99772496026071</v>
      </c>
      <c r="H25" s="269">
        <v>507.27549959361124</v>
      </c>
      <c r="I25" s="255">
        <v>472272.3360497317</v>
      </c>
      <c r="J25" s="283">
        <v>77.459813446997401</v>
      </c>
      <c r="K25" s="386">
        <v>72114.910095000785</v>
      </c>
      <c r="M25" s="354">
        <f t="shared" si="0"/>
        <v>584.73531304060862</v>
      </c>
      <c r="N25" s="393">
        <f t="shared" si="1"/>
        <v>544387.24614473246</v>
      </c>
      <c r="P25" s="307">
        <f t="shared" si="2"/>
        <v>0.71126740996584037</v>
      </c>
      <c r="Q25" s="307">
        <f t="shared" si="3"/>
        <v>0.38213834303745908</v>
      </c>
      <c r="R25" s="157">
        <v>2.5574627859862582E-3</v>
      </c>
      <c r="T25"/>
      <c r="U25" s="50">
        <f>100-U24</f>
        <v>100</v>
      </c>
      <c r="V25" s="287">
        <v>0.50380510975161164</v>
      </c>
      <c r="W25" s="287">
        <v>0.29529013371900414</v>
      </c>
      <c r="X25" s="157">
        <f t="shared" si="4"/>
        <v>2.7750313621083874E-3</v>
      </c>
      <c r="Z25" s="50">
        <f>(SUM(N10:T22)+(Z23*N23))/(SUM(G10:G22)+(Z23*G23))</f>
        <v>199.33670935360388</v>
      </c>
      <c r="AA25" s="50"/>
    </row>
    <row r="26" spans="1:27">
      <c r="A26" s="1">
        <v>3</v>
      </c>
      <c r="B26" s="154" t="s">
        <v>533</v>
      </c>
      <c r="C26" s="1" t="s">
        <v>633</v>
      </c>
      <c r="D26" s="1" t="s">
        <v>538</v>
      </c>
      <c r="F26" s="421">
        <v>58337.742317817203</v>
      </c>
      <c r="G26" s="421">
        <v>40503.003137927604</v>
      </c>
      <c r="H26" s="269">
        <v>403.90217358181422</v>
      </c>
      <c r="I26" s="255">
        <v>16359251.004000001</v>
      </c>
      <c r="J26" s="283">
        <v>182.48038697538311</v>
      </c>
      <c r="K26" s="386">
        <v>7391003.6862741858</v>
      </c>
      <c r="M26" s="354">
        <f t="shared" si="0"/>
        <v>586.38256055719728</v>
      </c>
      <c r="N26" s="393">
        <f t="shared" si="1"/>
        <v>23750254.690274186</v>
      </c>
      <c r="P26" s="307">
        <f t="shared" si="2"/>
        <v>0.87987425516280482</v>
      </c>
      <c r="Q26" s="307">
        <f t="shared" si="3"/>
        <v>0.62249258961204557</v>
      </c>
      <c r="R26" s="157">
        <v>9.8889724277468685E-2</v>
      </c>
      <c r="T26" s="50">
        <f>(0.8-P25)/(P26-P25)</f>
        <v>0.5262692029526046</v>
      </c>
      <c r="U26" s="50">
        <f>100*(Q25+(T26*(Q26-Q25)))</f>
        <v>50.86293808085405</v>
      </c>
      <c r="V26" s="287">
        <v>0.79356060648212212</v>
      </c>
      <c r="W26" s="287">
        <v>0.56942918581091173</v>
      </c>
      <c r="X26" s="157">
        <f t="shared" si="4"/>
        <v>0.12536167158558026</v>
      </c>
      <c r="Z26" s="50">
        <f>(SUM(N11:N23)+(Z24*N24))/(SUM(G11:G23)+(Z24*G24))</f>
        <v>213.74241075113866</v>
      </c>
      <c r="AA26" s="50"/>
    </row>
    <row r="27" spans="1:27">
      <c r="A27" s="1">
        <v>3</v>
      </c>
      <c r="B27" s="153" t="s">
        <v>354</v>
      </c>
      <c r="C27" s="1" t="s">
        <v>554</v>
      </c>
      <c r="D27" s="1" t="s">
        <v>555</v>
      </c>
      <c r="F27" s="421">
        <v>587.35979891693239</v>
      </c>
      <c r="G27" s="421">
        <v>299</v>
      </c>
      <c r="H27" s="269">
        <v>378.52299591041134</v>
      </c>
      <c r="I27" s="255">
        <v>113178.37577721299</v>
      </c>
      <c r="J27" s="283">
        <v>233.29624915256639</v>
      </c>
      <c r="K27" s="386">
        <v>69755.578496617352</v>
      </c>
      <c r="M27" s="354">
        <f t="shared" si="0"/>
        <v>611.81924506297776</v>
      </c>
      <c r="N27" s="393">
        <f t="shared" si="1"/>
        <v>182933.95427383034</v>
      </c>
      <c r="P27" s="307">
        <f t="shared" si="2"/>
        <v>0.88111893932961127</v>
      </c>
      <c r="Q27" s="307">
        <f t="shared" si="3"/>
        <v>0.62434389408544144</v>
      </c>
      <c r="R27" s="157">
        <v>6.3996271718373297E-4</v>
      </c>
      <c r="T27"/>
      <c r="U27" s="50">
        <f>100-U26</f>
        <v>49.13706191914595</v>
      </c>
      <c r="V27" s="287">
        <v>0.79569963042628233</v>
      </c>
      <c r="W27" s="287">
        <v>0.57154071435972298</v>
      </c>
      <c r="X27" s="157">
        <f t="shared" si="4"/>
        <v>9.589037642177339E-4</v>
      </c>
    </row>
    <row r="28" spans="1:27">
      <c r="A28" s="1">
        <v>3</v>
      </c>
      <c r="B28" s="154" t="s">
        <v>533</v>
      </c>
      <c r="C28" s="1" t="s">
        <v>612</v>
      </c>
      <c r="D28" s="1" t="s">
        <v>534</v>
      </c>
      <c r="F28" s="421">
        <v>26251.984043017739</v>
      </c>
      <c r="G28" s="421">
        <v>18226.351412067419</v>
      </c>
      <c r="H28" s="269">
        <v>403.90217358181422</v>
      </c>
      <c r="I28" s="255">
        <v>7361662.951799999</v>
      </c>
      <c r="J28" s="283">
        <v>311.08856473974612</v>
      </c>
      <c r="K28" s="386">
        <v>5670009.5012222985</v>
      </c>
      <c r="M28" s="354">
        <f t="shared" si="0"/>
        <v>714.99073832156034</v>
      </c>
      <c r="N28" s="393">
        <f t="shared" si="1"/>
        <v>13031672.453022297</v>
      </c>
      <c r="P28" s="307">
        <f t="shared" si="2"/>
        <v>0.95699201966824521</v>
      </c>
      <c r="Q28" s="307">
        <f t="shared" si="3"/>
        <v>0.75622533514365553</v>
      </c>
      <c r="R28" s="157">
        <v>3.4715100421022625E-2</v>
      </c>
      <c r="S28" s="50"/>
      <c r="T28" s="50">
        <f>(SUM(N27:N$33)+((1-T26)*N26))/(SUM(G27:G$33)+((1-T26)*G26))</f>
        <v>1010.6101077303011</v>
      </c>
      <c r="U28" s="50"/>
      <c r="V28" s="287">
        <v>0.92608960395501194</v>
      </c>
      <c r="W28" s="287">
        <v>0.72195974691463294</v>
      </c>
      <c r="X28" s="157">
        <f t="shared" si="4"/>
        <v>5.5844561788065773E-2</v>
      </c>
      <c r="Z28" s="50">
        <f>(0.8-V27)/(V28-V27)</f>
        <v>3.2980830176870805E-2</v>
      </c>
      <c r="AA28" s="50">
        <f>100*(W27+(Z28*(W28-W27)))</f>
        <v>57.650165892778574</v>
      </c>
    </row>
    <row r="29" spans="1:27">
      <c r="A29" s="1">
        <v>3</v>
      </c>
      <c r="B29" s="153" t="s">
        <v>354</v>
      </c>
      <c r="C29" s="1" t="s">
        <v>565</v>
      </c>
      <c r="D29" s="1" t="s">
        <v>483</v>
      </c>
      <c r="F29" s="421">
        <v>424.36545684149507</v>
      </c>
      <c r="G29" s="421">
        <v>216.02648296594066</v>
      </c>
      <c r="H29" s="269">
        <v>492.03299591041127</v>
      </c>
      <c r="I29" s="255">
        <v>106292.15760972121</v>
      </c>
      <c r="J29" s="283">
        <v>233.29624915256639</v>
      </c>
      <c r="K29" s="386">
        <v>50398.168193574733</v>
      </c>
      <c r="M29" s="354">
        <f t="shared" si="0"/>
        <v>725.32924506297763</v>
      </c>
      <c r="N29" s="393">
        <f t="shared" si="1"/>
        <v>156690.32580329594</v>
      </c>
      <c r="P29" s="307">
        <f t="shared" si="2"/>
        <v>0.95789129974502984</v>
      </c>
      <c r="Q29" s="307">
        <f t="shared" si="3"/>
        <v>0.75781105225259249</v>
      </c>
      <c r="R29" s="157">
        <v>3.6047365980315806E-4</v>
      </c>
      <c r="S29" s="50"/>
      <c r="T29"/>
      <c r="U29" s="50">
        <f>100-U28</f>
        <v>100</v>
      </c>
      <c r="V29" s="287">
        <v>0.92763504147888109</v>
      </c>
      <c r="W29" s="287">
        <v>0.72376835646210347</v>
      </c>
      <c r="X29" s="157">
        <f t="shared" si="4"/>
        <v>6.305331657039889E-4</v>
      </c>
      <c r="Z29"/>
      <c r="AA29" s="50">
        <f>100-AA28</f>
        <v>42.349834107221426</v>
      </c>
    </row>
    <row r="30" spans="1:27">
      <c r="A30" s="1">
        <v>3</v>
      </c>
      <c r="B30" s="154" t="s">
        <v>533</v>
      </c>
      <c r="C30" s="1" t="s">
        <v>611</v>
      </c>
      <c r="D30" s="1" t="s">
        <v>531</v>
      </c>
      <c r="F30" s="421">
        <v>2916.8871158908601</v>
      </c>
      <c r="G30" s="421">
        <v>2025.1501568963802</v>
      </c>
      <c r="H30" s="269">
        <v>403.90217358181417</v>
      </c>
      <c r="I30" s="255">
        <v>817962.55019999994</v>
      </c>
      <c r="J30" s="283">
        <v>1102.1634569826188</v>
      </c>
      <c r="K30" s="386">
        <v>2232046.497833807</v>
      </c>
      <c r="M30" s="354">
        <f t="shared" si="0"/>
        <v>1506.0656305644329</v>
      </c>
      <c r="N30" s="393">
        <f t="shared" si="1"/>
        <v>3050009.048033807</v>
      </c>
      <c r="P30" s="307">
        <f t="shared" si="2"/>
        <v>0.96632164200487802</v>
      </c>
      <c r="Q30" s="307">
        <f t="shared" si="3"/>
        <v>0.78867735816576812</v>
      </c>
      <c r="R30" s="157">
        <v>3.184347079065689E-3</v>
      </c>
      <c r="T30" s="50">
        <f>(SUM(N29:N$33)+((1-T28)*N28))/(SUM(G29:G$33)+((1-T28)*G28))</f>
        <v>714.0826207694862</v>
      </c>
      <c r="U30" s="50"/>
      <c r="V30" s="287">
        <v>0.94212281631540662</v>
      </c>
      <c r="W30" s="287">
        <v>0.75897330900697557</v>
      </c>
      <c r="X30" s="157">
        <f t="shared" si="4"/>
        <v>5.6070034524970825E-3</v>
      </c>
      <c r="Z30" s="50">
        <f>(SUM(N29:N$33)+((1-Z28)*N28))/(SUM(G29:G$33)+((1-Z28)*G28))</f>
        <v>1312.39189614578</v>
      </c>
      <c r="AA30" s="50"/>
    </row>
    <row r="31" spans="1:27">
      <c r="A31" s="1">
        <v>3</v>
      </c>
      <c r="B31" s="153" t="s">
        <v>354</v>
      </c>
      <c r="C31" s="1" t="s">
        <v>566</v>
      </c>
      <c r="D31" s="1" t="s">
        <v>579</v>
      </c>
      <c r="F31" s="421">
        <v>755.6602795222235</v>
      </c>
      <c r="G31" s="421">
        <v>384.67464745420693</v>
      </c>
      <c r="H31" s="269">
        <v>822.03299591041127</v>
      </c>
      <c r="I31" s="255">
        <v>316215.25289756298</v>
      </c>
      <c r="J31" s="354">
        <v>1273.7051736752167</v>
      </c>
      <c r="K31" s="386">
        <v>489962.08864411339</v>
      </c>
      <c r="M31" s="354">
        <f t="shared" si="0"/>
        <v>2095.7381695856279</v>
      </c>
      <c r="N31" s="393">
        <f t="shared" si="1"/>
        <v>806177.34154167632</v>
      </c>
      <c r="P31" s="307">
        <f t="shared" si="2"/>
        <v>0.9679229745903567</v>
      </c>
      <c r="Q31" s="307">
        <f t="shared" si="3"/>
        <v>0.79683592951831461</v>
      </c>
      <c r="R31" s="157">
        <v>5.5843484056270951E-4</v>
      </c>
      <c r="S31" s="50"/>
      <c r="T31"/>
      <c r="U31" s="50">
        <f>100-U30</f>
        <v>100</v>
      </c>
      <c r="V31" s="307">
        <v>0.9448747503676338</v>
      </c>
      <c r="W31" s="307">
        <v>0.76827866994353478</v>
      </c>
      <c r="X31" s="157">
        <f t="shared" si="4"/>
        <v>9.8999613301962931E-4</v>
      </c>
      <c r="Z31"/>
      <c r="AA31" s="50">
        <f>100-AA30</f>
        <v>100</v>
      </c>
    </row>
    <row r="32" spans="1:27">
      <c r="A32" s="1">
        <v>3</v>
      </c>
      <c r="B32" s="154" t="s">
        <v>533</v>
      </c>
      <c r="C32" s="1" t="s">
        <v>667</v>
      </c>
      <c r="D32" s="1" t="s">
        <v>205</v>
      </c>
      <c r="F32" s="421">
        <v>9827.6858739868894</v>
      </c>
      <c r="G32" s="421">
        <v>6823.2121432489412</v>
      </c>
      <c r="H32" s="269">
        <v>1770.9684235692926</v>
      </c>
      <c r="I32" s="255">
        <v>12083693.253008431</v>
      </c>
      <c r="J32" s="354">
        <v>545.28040882324308</v>
      </c>
      <c r="K32" s="386">
        <v>3720563.9069584995</v>
      </c>
      <c r="M32" s="354">
        <f t="shared" si="0"/>
        <v>2316.2488323925359</v>
      </c>
      <c r="N32" s="393">
        <f t="shared" si="1"/>
        <v>15804257.159966931</v>
      </c>
      <c r="P32" s="307">
        <f t="shared" si="2"/>
        <v>0.99632680108354665</v>
      </c>
      <c r="Q32" s="307">
        <f t="shared" si="3"/>
        <v>0.95677612266118706</v>
      </c>
      <c r="R32" s="157">
        <v>5.9829173510555101E-3</v>
      </c>
      <c r="S32" s="50"/>
      <c r="T32" s="50">
        <f>(0.99-P31)/(P32-P31)</f>
        <v>0.77725532561383714</v>
      </c>
      <c r="U32" s="50">
        <f>100*(Q31+(T32*(Q32-Q31)))</f>
        <v>92.115029641831796</v>
      </c>
      <c r="V32" s="307">
        <v>0.99368750672380124</v>
      </c>
      <c r="W32" s="307">
        <v>0.95070046429272459</v>
      </c>
      <c r="X32" s="157">
        <f t="shared" si="4"/>
        <v>1.0718457475856072E-2</v>
      </c>
      <c r="Z32" s="50">
        <f>(0.95-V31)/(V32-V31)</f>
        <v>0.10499816062361304</v>
      </c>
      <c r="AA32" s="50">
        <f>100*(W31+(Z32*(W32-W31)))</f>
        <v>78.743262280785871</v>
      </c>
    </row>
    <row r="33" spans="1:27">
      <c r="A33" s="1">
        <v>3</v>
      </c>
      <c r="B33" s="153" t="s">
        <v>354</v>
      </c>
      <c r="C33" s="1" t="s">
        <v>667</v>
      </c>
      <c r="D33" s="1" t="s">
        <v>205</v>
      </c>
      <c r="F33" s="421">
        <v>1733.362916060456</v>
      </c>
      <c r="G33" s="421">
        <v>882.38165577173538</v>
      </c>
      <c r="H33" s="354">
        <v>3262.2829959104115</v>
      </c>
      <c r="I33" s="330">
        <v>2878578.6715274062</v>
      </c>
      <c r="J33" s="354">
        <v>1578.1445403057689</v>
      </c>
      <c r="K33" s="393">
        <v>1392525.7925221287</v>
      </c>
      <c r="M33" s="354">
        <f t="shared" si="0"/>
        <v>4840.4275362161807</v>
      </c>
      <c r="N33" s="393">
        <f t="shared" si="1"/>
        <v>4271104.4640495349</v>
      </c>
      <c r="P33" s="307">
        <f t="shared" si="2"/>
        <v>1</v>
      </c>
      <c r="Q33" s="307">
        <f t="shared" si="3"/>
        <v>1</v>
      </c>
      <c r="R33" s="157">
        <v>1.4527750912600603E-4</v>
      </c>
      <c r="T33"/>
      <c r="U33" s="50">
        <f>100-U32</f>
        <v>7.8849703581682036</v>
      </c>
      <c r="V33" s="307">
        <v>1</v>
      </c>
      <c r="W33" s="307">
        <v>0.99999999999999989</v>
      </c>
      <c r="X33" s="157">
        <f t="shared" si="4"/>
        <v>2.7135541630984286E-4</v>
      </c>
      <c r="Z33"/>
      <c r="AA33" s="50">
        <f>100-AA32</f>
        <v>21.256737719214129</v>
      </c>
    </row>
    <row r="34" spans="1:27">
      <c r="B34" s="54"/>
      <c r="H34" s="269"/>
      <c r="I34" s="255"/>
      <c r="J34" s="269"/>
      <c r="M34" s="1"/>
      <c r="R34" s="355">
        <f>SUM(R10:R33)</f>
        <v>0.46431223118746756</v>
      </c>
      <c r="T34" s="50">
        <f>(SUM(N33:N$33)+((1-T32)*N32))/(SUM(G33:G$33)+((1-T32)*G32))</f>
        <v>3243.4298803745137</v>
      </c>
      <c r="U34" s="50"/>
      <c r="V34" s="50"/>
      <c r="W34" s="50"/>
      <c r="X34" s="307">
        <f>SUM(X10:X33)</f>
        <v>0.32841746309707204</v>
      </c>
      <c r="Z34" s="50">
        <f>(SUM(N33:N$33)+((1-Z32)*N32))/(SUM(G33:G$33)+((1-Z32)*G32))</f>
        <v>2634.9260543087566</v>
      </c>
      <c r="AA34" s="50"/>
    </row>
    <row r="35" spans="1:27" ht="16" thickBot="1">
      <c r="D35" s="37"/>
      <c r="E35" s="8" t="s">
        <v>108</v>
      </c>
      <c r="F35" s="424">
        <v>195938.17486732168</v>
      </c>
      <c r="G35" s="424">
        <v>139783.38148869621</v>
      </c>
      <c r="H35" s="269">
        <v>449.30565521398131</v>
      </c>
      <c r="I35" s="214">
        <v>62805463.807804555</v>
      </c>
      <c r="J35" s="269">
        <f>K35/F35</f>
        <v>121.62168554068228</v>
      </c>
      <c r="K35" s="390">
        <f>SUM(K10:K33)</f>
        <v>23830331.089128613</v>
      </c>
      <c r="M35" s="216">
        <f>N35/G35</f>
        <v>619.78608597288166</v>
      </c>
      <c r="N35" s="396">
        <v>86635794.896933183</v>
      </c>
      <c r="O35" s="155"/>
      <c r="P35" s="77"/>
      <c r="Q35" s="77"/>
      <c r="R35" s="77"/>
      <c r="S35" s="77"/>
      <c r="T35" s="51"/>
      <c r="U35" s="77"/>
      <c r="V35" s="77"/>
      <c r="W35" s="77"/>
      <c r="X35" s="167"/>
      <c r="Y35" s="167"/>
    </row>
    <row r="36" spans="1:27" ht="16" thickBot="1">
      <c r="D36" s="38"/>
      <c r="E36" s="8" t="s">
        <v>435</v>
      </c>
      <c r="F36" s="428">
        <f>SUM(F10:F33)</f>
        <v>436136.40357833408</v>
      </c>
      <c r="G36" s="428">
        <f>SUM(G10:G33)</f>
        <v>240221.58228874099</v>
      </c>
      <c r="H36" s="275">
        <f>I36/G36</f>
        <v>312.14186187112358</v>
      </c>
      <c r="I36" s="192">
        <f>SUM(I10:I33)</f>
        <v>74983211.957234934</v>
      </c>
      <c r="J36" s="269">
        <f>K36/F36</f>
        <v>54.639628551090368</v>
      </c>
      <c r="K36" s="390">
        <f>K35</f>
        <v>23830331.089128613</v>
      </c>
      <c r="L36" s="214"/>
      <c r="M36" s="354">
        <f>N36/G36</f>
        <v>411.34331938415045</v>
      </c>
      <c r="N36" s="396">
        <v>98813543.046363562</v>
      </c>
      <c r="O36" s="155"/>
      <c r="P36" s="51" t="s">
        <v>416</v>
      </c>
      <c r="Q36" s="371">
        <v>0.46431223118746756</v>
      </c>
      <c r="R36" s="91" t="s">
        <v>381</v>
      </c>
      <c r="S36" s="77"/>
      <c r="T36" s="51"/>
      <c r="U36" s="77"/>
      <c r="V36" s="1" t="s">
        <v>416</v>
      </c>
      <c r="W36" s="371">
        <v>0.32841746309707204</v>
      </c>
      <c r="X36" s="91" t="s">
        <v>381</v>
      </c>
      <c r="Y36" s="167"/>
    </row>
    <row r="37" spans="1:27">
      <c r="I37" s="1"/>
      <c r="J37" s="1"/>
      <c r="M37" s="1"/>
      <c r="O37" s="77"/>
      <c r="P37" s="51"/>
      <c r="Q37" s="91" t="s">
        <v>88</v>
      </c>
      <c r="R37" s="91" t="s">
        <v>201</v>
      </c>
      <c r="S37" s="77"/>
      <c r="T37" s="51"/>
      <c r="U37" s="77"/>
      <c r="W37" s="91" t="s">
        <v>88</v>
      </c>
      <c r="X37" s="91" t="s">
        <v>201</v>
      </c>
      <c r="Y37" s="167"/>
    </row>
    <row r="38" spans="1:27">
      <c r="D38" s="1" t="s">
        <v>576</v>
      </c>
      <c r="I38" s="1"/>
      <c r="J38" s="1"/>
      <c r="M38" s="1"/>
      <c r="O38" s="77"/>
      <c r="P38" s="51" t="s">
        <v>417</v>
      </c>
      <c r="Q38" s="289">
        <v>7.8849703581682036</v>
      </c>
      <c r="R38" s="429">
        <v>3243.4298803745137</v>
      </c>
      <c r="S38" s="77"/>
      <c r="T38" s="51"/>
      <c r="U38" s="77"/>
      <c r="V38" s="1" t="s">
        <v>417</v>
      </c>
      <c r="W38" s="289">
        <v>6.3080392258834053</v>
      </c>
      <c r="X38" s="430">
        <v>3909.6349419736293</v>
      </c>
      <c r="Y38" s="167"/>
    </row>
    <row r="39" spans="1:27">
      <c r="D39" s="1" t="s">
        <v>503</v>
      </c>
      <c r="H39" s="138"/>
      <c r="I39" s="1"/>
      <c r="O39" s="77"/>
      <c r="P39" s="51" t="s">
        <v>418</v>
      </c>
      <c r="Q39" s="289">
        <v>25.592808772569413</v>
      </c>
      <c r="R39" s="430">
        <v>2105.486182574497</v>
      </c>
      <c r="S39" s="77"/>
      <c r="T39" s="51"/>
      <c r="U39" s="77"/>
      <c r="V39" s="1" t="s">
        <v>418</v>
      </c>
      <c r="W39" s="289">
        <v>21.256737719214129</v>
      </c>
      <c r="X39" s="430">
        <v>2634.9260543087566</v>
      </c>
      <c r="Y39" s="167"/>
    </row>
    <row r="40" spans="1:27">
      <c r="D40" s="1" t="s">
        <v>535</v>
      </c>
      <c r="H40" s="138"/>
      <c r="O40" s="77"/>
      <c r="P40" s="51" t="s">
        <v>173</v>
      </c>
      <c r="Q40" s="289">
        <v>34.28373317352991</v>
      </c>
      <c r="R40" s="430">
        <v>1410.2384604480296</v>
      </c>
      <c r="S40" s="77"/>
      <c r="T40" s="51"/>
      <c r="U40" s="77"/>
      <c r="V40" s="1" t="s">
        <v>173</v>
      </c>
      <c r="W40" s="289">
        <v>30.813745212950195</v>
      </c>
      <c r="X40" s="430">
        <v>1909.7930539699989</v>
      </c>
      <c r="Y40" s="167"/>
    </row>
    <row r="41" spans="1:27">
      <c r="D41" s="1" t="s">
        <v>637</v>
      </c>
      <c r="H41" s="138"/>
      <c r="O41" s="77"/>
      <c r="P41" s="51" t="s">
        <v>80</v>
      </c>
      <c r="Q41" s="289">
        <v>49.13706191914595</v>
      </c>
      <c r="R41" s="430">
        <v>1010.6101077303011</v>
      </c>
      <c r="S41" s="77"/>
      <c r="T41" s="51"/>
      <c r="U41" s="77"/>
      <c r="V41" s="1" t="s">
        <v>80</v>
      </c>
      <c r="W41" s="289">
        <v>42.349834107221426</v>
      </c>
      <c r="X41" s="430">
        <v>1312.39189614578</v>
      </c>
      <c r="Y41" s="167"/>
    </row>
    <row r="42" spans="1:27">
      <c r="D42" s="1" t="s">
        <v>458</v>
      </c>
      <c r="H42" s="138"/>
      <c r="O42" s="77"/>
      <c r="P42" s="51" t="s">
        <v>250</v>
      </c>
      <c r="Q42" s="289">
        <f>100-Q41-Q43</f>
        <v>39.436835774724941</v>
      </c>
      <c r="R42" s="430">
        <v>405.55197333957443</v>
      </c>
      <c r="S42" s="358">
        <f>(Q45-(0.2*R41)-(0.4*R43))/0.4</f>
        <v>405.55197333957443</v>
      </c>
      <c r="T42" s="359"/>
      <c r="U42" s="358"/>
      <c r="V42" s="1" t="s">
        <v>250</v>
      </c>
      <c r="W42" s="289">
        <f>100-W41-W43</f>
        <v>35.732284881502856</v>
      </c>
      <c r="X42" s="430">
        <v>693.93255750571029</v>
      </c>
      <c r="Y42" s="431">
        <f>(W45-(0.2*X41)-(0.4*X43))/0.4</f>
        <v>693.93255750571029</v>
      </c>
    </row>
    <row r="43" spans="1:27">
      <c r="O43" s="77"/>
      <c r="P43" s="51" t="s">
        <v>251</v>
      </c>
      <c r="Q43" s="289">
        <v>11.426102306129108</v>
      </c>
      <c r="R43" s="430">
        <v>117.50127125565106</v>
      </c>
      <c r="S43" s="77"/>
      <c r="T43" s="51"/>
      <c r="U43" s="77"/>
      <c r="V43" s="1" t="s">
        <v>251</v>
      </c>
      <c r="W43" s="289">
        <v>21.917881011275718</v>
      </c>
      <c r="X43" s="430">
        <v>199.33670935360388</v>
      </c>
      <c r="Y43" s="77"/>
    </row>
    <row r="44" spans="1:27">
      <c r="O44" s="77"/>
      <c r="P44" s="51"/>
      <c r="Q44" s="51"/>
      <c r="R44" s="51"/>
      <c r="S44" s="77"/>
      <c r="T44" s="51"/>
      <c r="U44" s="77"/>
      <c r="W44" s="289"/>
      <c r="X44" s="382"/>
      <c r="Y44" s="167"/>
    </row>
    <row r="45" spans="1:27">
      <c r="O45" s="77"/>
      <c r="P45" s="51" t="s">
        <v>253</v>
      </c>
      <c r="Q45" s="308">
        <v>411.34331938415045</v>
      </c>
      <c r="R45" s="289"/>
      <c r="S45" s="77"/>
      <c r="T45" s="51"/>
      <c r="U45" s="77"/>
      <c r="V45" s="1" t="s">
        <v>253</v>
      </c>
      <c r="W45" s="382">
        <v>619.78608597288166</v>
      </c>
      <c r="X45" s="51"/>
      <c r="Y45" s="77"/>
    </row>
    <row r="46" spans="1:27">
      <c r="N46" s="396" t="s">
        <v>203</v>
      </c>
      <c r="O46" s="77"/>
      <c r="P46" s="51" t="s">
        <v>252</v>
      </c>
      <c r="Q46" s="308">
        <v>321.52862297500957</v>
      </c>
      <c r="R46" s="289"/>
      <c r="S46" s="77"/>
      <c r="T46" s="51"/>
      <c r="U46" s="77"/>
      <c r="V46" s="1" t="s">
        <v>252</v>
      </c>
      <c r="W46" s="382">
        <v>584.73531304060862</v>
      </c>
      <c r="X46" s="51"/>
      <c r="Y46" s="77"/>
    </row>
    <row r="47" spans="1:27">
      <c r="N47" s="396" t="s">
        <v>204</v>
      </c>
      <c r="O47" s="77"/>
      <c r="P47" s="77"/>
      <c r="Q47" s="77"/>
      <c r="R47" s="77"/>
      <c r="S47" s="77"/>
      <c r="T47" s="51"/>
      <c r="U47" s="77"/>
      <c r="V47" s="77"/>
      <c r="W47" s="77"/>
      <c r="X47" s="168"/>
      <c r="Y47" s="77"/>
    </row>
    <row r="49" spans="14:14">
      <c r="N49" s="393">
        <v>98545725.512687668</v>
      </c>
    </row>
    <row r="50" spans="14:14">
      <c r="N50" s="393">
        <v>110723473.66211806</v>
      </c>
    </row>
  </sheetData>
  <sortState ref="A10:XFD33">
    <sortCondition ref="M10:M33"/>
  </sortState>
  <phoneticPr fontId="20"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topLeftCell="O1" workbookViewId="0">
      <pane ySplit="5020" topLeftCell="A83"/>
      <selection activeCell="R3" sqref="R3"/>
      <selection pane="bottomLeft" activeCell="V88" sqref="V88"/>
    </sheetView>
  </sheetViews>
  <sheetFormatPr baseColWidth="10" defaultRowHeight="15" x14ac:dyDescent="0"/>
  <cols>
    <col min="1" max="1" width="9.83203125" style="1" customWidth="1"/>
    <col min="2" max="2" width="10.83203125" style="83"/>
    <col min="3" max="5" width="10.83203125" style="1"/>
    <col min="6" max="6" width="12.6640625" style="217" customWidth="1"/>
    <col min="7" max="7" width="12.6640625" style="304" customWidth="1"/>
    <col min="8" max="8" width="12.6640625" style="219" customWidth="1"/>
    <col min="9" max="9" width="14.83203125" style="217" customWidth="1"/>
    <col min="10" max="10" width="4" style="1" customWidth="1"/>
    <col min="11" max="11" width="10.83203125" style="219"/>
    <col min="12" max="12" width="12.1640625" style="448" customWidth="1"/>
    <col min="13" max="13" width="6.1640625" style="1" customWidth="1"/>
    <col min="14" max="14" width="11.83203125" style="219" customWidth="1"/>
    <col min="15" max="15" width="13.33203125" style="217" customWidth="1"/>
    <col min="16" max="16" width="11.1640625" style="1" bestFit="1" customWidth="1"/>
    <col min="17" max="17" width="10.83203125" style="1"/>
    <col min="18" max="18" width="13.1640625" style="1" customWidth="1"/>
    <col min="19" max="19" width="11.83203125" style="1" bestFit="1" customWidth="1"/>
    <col min="20" max="20" width="3.83203125" style="1" customWidth="1"/>
    <col min="21" max="22" width="11.83203125" style="1" customWidth="1"/>
    <col min="23" max="23" width="7.83203125" style="1" customWidth="1"/>
    <col min="24" max="24" width="10.83203125" style="1"/>
    <col min="25" max="25" width="13.33203125" style="1" customWidth="1"/>
    <col min="26" max="26" width="10.83203125" style="1"/>
    <col min="27" max="27" width="5.1640625" style="1" customWidth="1"/>
    <col min="28" max="16384" width="10.83203125" style="1"/>
  </cols>
  <sheetData>
    <row r="1" spans="1:28" ht="21">
      <c r="A1" s="374" t="s">
        <v>652</v>
      </c>
      <c r="B1" s="363"/>
      <c r="C1" s="34" t="s">
        <v>363</v>
      </c>
      <c r="H1" s="353"/>
    </row>
    <row r="2" spans="1:28">
      <c r="A2" s="375">
        <v>40575</v>
      </c>
      <c r="B2" s="376" t="s">
        <v>623</v>
      </c>
      <c r="C2" s="1" t="s">
        <v>382</v>
      </c>
    </row>
    <row r="3" spans="1:28">
      <c r="A3" s="376" t="s">
        <v>587</v>
      </c>
      <c r="B3" s="368"/>
      <c r="C3" s="1" t="s">
        <v>656</v>
      </c>
      <c r="S3" s="157" t="s">
        <v>320</v>
      </c>
      <c r="T3" s="157"/>
      <c r="U3" s="157"/>
      <c r="V3" s="157"/>
    </row>
    <row r="4" spans="1:28">
      <c r="B4" s="1"/>
      <c r="D4" s="275" t="s">
        <v>227</v>
      </c>
      <c r="N4" s="275" t="s">
        <v>227</v>
      </c>
      <c r="S4" s="157" t="s">
        <v>200</v>
      </c>
      <c r="T4" s="157"/>
      <c r="U4" s="157"/>
      <c r="V4" s="157"/>
    </row>
    <row r="5" spans="1:28">
      <c r="D5" s="275" t="s">
        <v>337</v>
      </c>
      <c r="J5" s="172"/>
      <c r="K5" s="151" t="s">
        <v>518</v>
      </c>
      <c r="M5" s="172"/>
      <c r="N5" s="275" t="s">
        <v>337</v>
      </c>
    </row>
    <row r="6" spans="1:28">
      <c r="F6" s="213" t="s">
        <v>276</v>
      </c>
      <c r="G6" s="293"/>
      <c r="H6" s="178" t="s">
        <v>605</v>
      </c>
      <c r="J6" s="172"/>
      <c r="K6" s="151" t="s">
        <v>448</v>
      </c>
      <c r="M6" s="172"/>
      <c r="N6" s="151" t="s">
        <v>449</v>
      </c>
      <c r="Q6" s="55" t="s">
        <v>131</v>
      </c>
      <c r="X6" s="55" t="s">
        <v>36</v>
      </c>
    </row>
    <row r="7" spans="1:28">
      <c r="F7" s="215" t="s">
        <v>154</v>
      </c>
      <c r="G7" s="127" t="s">
        <v>63</v>
      </c>
      <c r="H7" s="149" t="s">
        <v>479</v>
      </c>
      <c r="I7" s="161" t="s">
        <v>391</v>
      </c>
      <c r="J7" s="172"/>
      <c r="K7" s="149" t="s">
        <v>479</v>
      </c>
      <c r="L7" s="449" t="s">
        <v>668</v>
      </c>
      <c r="M7" s="347"/>
      <c r="N7" s="149" t="s">
        <v>479</v>
      </c>
      <c r="O7" s="215" t="s">
        <v>668</v>
      </c>
      <c r="P7" s="127" t="s">
        <v>63</v>
      </c>
      <c r="Q7" s="1" t="s">
        <v>696</v>
      </c>
      <c r="X7" s="1" t="s">
        <v>696</v>
      </c>
    </row>
    <row r="8" spans="1:28">
      <c r="B8" s="54" t="s">
        <v>632</v>
      </c>
      <c r="C8" s="1" t="s">
        <v>480</v>
      </c>
      <c r="F8" s="214" t="s">
        <v>661</v>
      </c>
      <c r="G8" s="127" t="s">
        <v>64</v>
      </c>
      <c r="H8" s="194" t="s">
        <v>423</v>
      </c>
      <c r="I8" s="194" t="s">
        <v>319</v>
      </c>
      <c r="J8" s="172"/>
      <c r="K8" s="194" t="s">
        <v>423</v>
      </c>
      <c r="L8" s="450" t="s">
        <v>212</v>
      </c>
      <c r="M8" s="347"/>
      <c r="N8" s="194" t="s">
        <v>423</v>
      </c>
      <c r="O8" s="214" t="s">
        <v>212</v>
      </c>
      <c r="P8" s="127" t="s">
        <v>64</v>
      </c>
      <c r="Q8" s="8" t="s">
        <v>520</v>
      </c>
      <c r="R8" s="8" t="s">
        <v>520</v>
      </c>
      <c r="S8" s="8" t="s">
        <v>282</v>
      </c>
      <c r="T8" s="8"/>
      <c r="U8" s="8"/>
      <c r="V8" s="8"/>
      <c r="X8" s="8" t="s">
        <v>520</v>
      </c>
      <c r="Y8" s="8" t="s">
        <v>520</v>
      </c>
      <c r="Z8" s="8" t="s">
        <v>282</v>
      </c>
    </row>
    <row r="9" spans="1:28" s="3" customFormat="1">
      <c r="A9" s="9" t="s">
        <v>291</v>
      </c>
      <c r="B9" s="175" t="s">
        <v>292</v>
      </c>
      <c r="C9" s="3" t="s">
        <v>293</v>
      </c>
      <c r="D9" s="3" t="s">
        <v>376</v>
      </c>
      <c r="F9" s="299" t="s">
        <v>124</v>
      </c>
      <c r="G9" s="325" t="s">
        <v>222</v>
      </c>
      <c r="H9" s="176" t="s">
        <v>124</v>
      </c>
      <c r="I9" s="299" t="s">
        <v>124</v>
      </c>
      <c r="J9" s="347"/>
      <c r="K9" s="176" t="s">
        <v>124</v>
      </c>
      <c r="L9" s="451" t="s">
        <v>124</v>
      </c>
      <c r="M9" s="347"/>
      <c r="N9" s="176" t="s">
        <v>124</v>
      </c>
      <c r="O9" s="299" t="s">
        <v>124</v>
      </c>
      <c r="P9" s="325" t="s">
        <v>222</v>
      </c>
      <c r="Q9" s="9" t="s">
        <v>378</v>
      </c>
      <c r="R9" s="9" t="s">
        <v>379</v>
      </c>
      <c r="S9" s="9" t="s">
        <v>75</v>
      </c>
      <c r="T9" s="9"/>
      <c r="U9" s="370" t="s">
        <v>622</v>
      </c>
      <c r="V9" s="9"/>
      <c r="W9" s="3" t="s">
        <v>442</v>
      </c>
      <c r="X9" s="9" t="s">
        <v>378</v>
      </c>
      <c r="Y9" s="9" t="s">
        <v>379</v>
      </c>
      <c r="Z9" s="9" t="s">
        <v>75</v>
      </c>
      <c r="AB9" s="370" t="s">
        <v>622</v>
      </c>
    </row>
    <row r="10" spans="1:28" s="3" customFormat="1">
      <c r="A10" s="8">
        <v>1</v>
      </c>
      <c r="B10" s="54" t="s">
        <v>82</v>
      </c>
      <c r="C10" s="1" t="s">
        <v>551</v>
      </c>
      <c r="D10" s="1" t="s">
        <v>552</v>
      </c>
      <c r="E10" s="1"/>
      <c r="F10" s="294">
        <v>201.631472433412</v>
      </c>
      <c r="G10" s="192">
        <f t="shared" ref="G10:G41" si="0">F10*W10</f>
        <v>201.631472433412</v>
      </c>
      <c r="H10" s="194">
        <v>48.55</v>
      </c>
      <c r="I10" s="294">
        <f t="shared" ref="I10:I41" si="1">F10*H10</f>
        <v>9789.2079866421518</v>
      </c>
      <c r="J10" s="347"/>
      <c r="K10" s="398"/>
      <c r="L10" s="452"/>
      <c r="M10" s="347"/>
      <c r="N10" s="194">
        <f>O10/F10</f>
        <v>48.55</v>
      </c>
      <c r="O10" s="294">
        <f t="shared" ref="O10:O41" si="2">I10+L10</f>
        <v>9789.2079866421518</v>
      </c>
      <c r="P10" s="324">
        <f t="shared" ref="P10:P41" si="3">O10*W10</f>
        <v>9789.2079866421518</v>
      </c>
      <c r="Q10" s="315">
        <f>F10/F$86</f>
        <v>4.014415797643536E-4</v>
      </c>
      <c r="R10" s="315">
        <f>O10/O$86</f>
        <v>5.6540472776317387E-5</v>
      </c>
      <c r="S10" s="455">
        <f>Q10*(Q10-R10)</f>
        <v>1.384576452517516E-7</v>
      </c>
      <c r="T10" s="318"/>
      <c r="U10" s="318"/>
      <c r="V10" s="318"/>
      <c r="W10" s="317">
        <v>1</v>
      </c>
      <c r="X10" s="315">
        <f>W10*(F10/F$85)</f>
        <v>5.1208473105156401E-4</v>
      </c>
      <c r="Y10" s="315">
        <f>W10*(O10/O$85)</f>
        <v>6.1270638428542645E-5</v>
      </c>
      <c r="Z10" s="318">
        <f>X10*(X10-Y10)</f>
        <v>2.3085501337511477E-7</v>
      </c>
    </row>
    <row r="11" spans="1:28" s="3" customFormat="1">
      <c r="A11" s="8">
        <v>2</v>
      </c>
      <c r="B11" s="54" t="s">
        <v>82</v>
      </c>
      <c r="C11" s="1" t="s">
        <v>609</v>
      </c>
      <c r="D11" s="1" t="s">
        <v>610</v>
      </c>
      <c r="E11" s="1"/>
      <c r="F11" s="294">
        <v>6948.3876391959402</v>
      </c>
      <c r="G11" s="192">
        <f t="shared" si="0"/>
        <v>6948.3876391959402</v>
      </c>
      <c r="H11" s="194">
        <v>52.01</v>
      </c>
      <c r="I11" s="334">
        <f t="shared" si="1"/>
        <v>361385.64111458085</v>
      </c>
      <c r="J11" s="347"/>
      <c r="K11" s="398">
        <v>0</v>
      </c>
      <c r="L11" s="452">
        <v>0</v>
      </c>
      <c r="M11" s="347"/>
      <c r="N11" s="194">
        <v>52.01</v>
      </c>
      <c r="O11" s="334">
        <f t="shared" si="2"/>
        <v>361385.64111458085</v>
      </c>
      <c r="P11" s="324">
        <f t="shared" si="3"/>
        <v>361385.64111458085</v>
      </c>
      <c r="Q11" s="315">
        <f>(F11/F$86)+Q10</f>
        <v>1.4235451107295353E-2</v>
      </c>
      <c r="R11" s="315">
        <f>(O11/O$86)+R10</f>
        <v>2.1438303772377066E-3</v>
      </c>
      <c r="S11" s="455">
        <f>(Q11-Q10)*(Q11-R11+Q10-R10)</f>
        <v>1.7204696158303732E-4</v>
      </c>
      <c r="T11" s="318"/>
      <c r="U11" s="318"/>
      <c r="V11" s="318"/>
      <c r="W11" s="317">
        <v>1</v>
      </c>
      <c r="X11" s="315">
        <f>(W11*(F11/F$85))+X10</f>
        <v>1.8158948945836952E-2</v>
      </c>
      <c r="Y11" s="315">
        <f>(W11*(O11/O$85))+Y10</f>
        <v>2.3231828360458411E-3</v>
      </c>
      <c r="Z11" s="318">
        <f>(X11-X10)*(X11-Y11+X10-Y10)</f>
        <v>2.8740706935521411E-4</v>
      </c>
    </row>
    <row r="12" spans="1:28" s="3" customFormat="1">
      <c r="A12" s="8">
        <v>1</v>
      </c>
      <c r="B12" s="54" t="s">
        <v>83</v>
      </c>
      <c r="C12" s="1" t="s">
        <v>551</v>
      </c>
      <c r="D12" s="1" t="s">
        <v>552</v>
      </c>
      <c r="E12" s="1"/>
      <c r="F12" s="294">
        <v>40.591306041131133</v>
      </c>
      <c r="G12" s="192">
        <f t="shared" si="0"/>
        <v>40.591306041131133</v>
      </c>
      <c r="H12" s="194">
        <v>54.97</v>
      </c>
      <c r="I12" s="334">
        <f t="shared" si="1"/>
        <v>2231.3040930809784</v>
      </c>
      <c r="J12" s="347"/>
      <c r="K12" s="398"/>
      <c r="L12" s="452"/>
      <c r="M12" s="347"/>
      <c r="N12" s="194">
        <f>O12/F12</f>
        <v>54.97</v>
      </c>
      <c r="O12" s="334">
        <f t="shared" si="2"/>
        <v>2231.3040930809784</v>
      </c>
      <c r="P12" s="324">
        <f t="shared" si="3"/>
        <v>2231.3040930809784</v>
      </c>
      <c r="Q12" s="315">
        <f t="shared" ref="Q12:Q75" si="4">(F12/F$86)+Q11</f>
        <v>1.4316267052470933E-2</v>
      </c>
      <c r="R12" s="315">
        <f t="shared" ref="R12:R75" si="5">(O12/O$86)+R11</f>
        <v>2.1567179355062283E-3</v>
      </c>
      <c r="S12" s="455">
        <f t="shared" ref="S12:S75" si="6">(Q12-Q11)*(Q12-R12+Q11-R11)</f>
        <v>1.9598812128006339E-6</v>
      </c>
      <c r="T12" s="318"/>
      <c r="U12" s="318"/>
      <c r="V12" s="318"/>
      <c r="W12" s="317">
        <v>1</v>
      </c>
      <c r="X12" s="315">
        <f t="shared" ref="X12:X75" si="7">(W12*(F12/F$85))+X11</f>
        <v>1.8262038943575122E-2</v>
      </c>
      <c r="Y12" s="315">
        <f t="shared" ref="Y12:Y75" si="8">(W12*(O12/O$85))+Y11</f>
        <v>2.3371485650913208E-3</v>
      </c>
      <c r="Z12" s="318">
        <f t="shared" ref="Z12:Z75" si="9">(X12-X11)*(X12-Y12+X11-Y11)</f>
        <v>3.2742060055390713E-6</v>
      </c>
    </row>
    <row r="13" spans="1:28" s="3" customFormat="1">
      <c r="A13" s="8">
        <v>1</v>
      </c>
      <c r="B13" s="54" t="s">
        <v>82</v>
      </c>
      <c r="C13" s="1" t="s">
        <v>609</v>
      </c>
      <c r="D13" s="1" t="s">
        <v>610</v>
      </c>
      <c r="E13" s="1"/>
      <c r="F13" s="294">
        <v>32911.338985626855</v>
      </c>
      <c r="G13" s="192">
        <f t="shared" si="0"/>
        <v>32911.338985626855</v>
      </c>
      <c r="H13" s="194">
        <v>55.625</v>
      </c>
      <c r="I13" s="334">
        <f t="shared" si="1"/>
        <v>1830693.2310754939</v>
      </c>
      <c r="J13" s="347"/>
      <c r="K13" s="398">
        <v>0</v>
      </c>
      <c r="L13" s="452">
        <v>0</v>
      </c>
      <c r="M13" s="347"/>
      <c r="N13" s="194">
        <f>O13/F13</f>
        <v>55.625</v>
      </c>
      <c r="O13" s="334">
        <f t="shared" si="2"/>
        <v>1830693.2310754939</v>
      </c>
      <c r="P13" s="324">
        <f t="shared" si="3"/>
        <v>1830693.2310754939</v>
      </c>
      <c r="Q13" s="315">
        <f t="shared" si="4"/>
        <v>7.9841652326406318E-2</v>
      </c>
      <c r="R13" s="315">
        <f t="shared" si="5"/>
        <v>1.2730429407839283E-2</v>
      </c>
      <c r="S13" s="455">
        <f t="shared" si="6"/>
        <v>5.1942478785905206E-3</v>
      </c>
      <c r="T13" s="318"/>
      <c r="U13" s="318"/>
      <c r="V13" s="318"/>
      <c r="W13" s="317">
        <v>1</v>
      </c>
      <c r="X13" s="315">
        <f t="shared" si="7"/>
        <v>0.10184717557727871</v>
      </c>
      <c r="Y13" s="315">
        <f t="shared" si="8"/>
        <v>1.3795454812937456E-2</v>
      </c>
      <c r="Z13" s="318">
        <f t="shared" si="9"/>
        <v>8.6908992490824996E-3</v>
      </c>
    </row>
    <row r="14" spans="1:28" s="3" customFormat="1">
      <c r="A14" s="8">
        <v>2</v>
      </c>
      <c r="B14" s="54" t="s">
        <v>82</v>
      </c>
      <c r="C14" s="1" t="s">
        <v>551</v>
      </c>
      <c r="D14" s="1" t="s">
        <v>552</v>
      </c>
      <c r="E14" s="1"/>
      <c r="F14" s="192">
        <v>415.55032600872619</v>
      </c>
      <c r="G14" s="192">
        <f t="shared" si="0"/>
        <v>415.55032600872619</v>
      </c>
      <c r="H14" s="194">
        <v>48.550000000000004</v>
      </c>
      <c r="I14" s="334">
        <f t="shared" si="1"/>
        <v>20174.968327723658</v>
      </c>
      <c r="J14" s="347"/>
      <c r="K14" s="398"/>
      <c r="L14" s="452"/>
      <c r="M14" s="347"/>
      <c r="N14" s="194">
        <v>58.643377337664845</v>
      </c>
      <c r="O14" s="334">
        <f t="shared" si="2"/>
        <v>20174.968327723658</v>
      </c>
      <c r="P14" s="324">
        <f t="shared" si="3"/>
        <v>20174.968327723658</v>
      </c>
      <c r="Q14" s="315">
        <f t="shared" si="4"/>
        <v>8.0668999254597931E-2</v>
      </c>
      <c r="R14" s="315">
        <f t="shared" si="5"/>
        <v>1.284695591836529E-2</v>
      </c>
      <c r="S14" s="455">
        <f t="shared" si="6"/>
        <v>1.1163662334676961E-4</v>
      </c>
      <c r="T14" s="318"/>
      <c r="U14" s="318"/>
      <c r="V14" s="318"/>
      <c r="W14" s="317">
        <v>1</v>
      </c>
      <c r="X14" s="315">
        <f t="shared" si="7"/>
        <v>0.1029025513793021</v>
      </c>
      <c r="Y14" s="315">
        <f t="shared" si="8"/>
        <v>1.3921729910105891E-2</v>
      </c>
      <c r="Z14" s="318">
        <f t="shared" si="9"/>
        <v>1.8683586124395915E-4</v>
      </c>
    </row>
    <row r="15" spans="1:28" s="3" customFormat="1">
      <c r="A15" s="8">
        <v>1</v>
      </c>
      <c r="B15" s="54" t="s">
        <v>83</v>
      </c>
      <c r="C15" s="1" t="s">
        <v>609</v>
      </c>
      <c r="D15" s="1" t="s">
        <v>610</v>
      </c>
      <c r="E15" s="1"/>
      <c r="F15" s="294">
        <v>700.99480761994664</v>
      </c>
      <c r="G15" s="192">
        <f t="shared" si="0"/>
        <v>700.99480761994664</v>
      </c>
      <c r="H15" s="194">
        <v>62.682857142857003</v>
      </c>
      <c r="I15" s="334">
        <f t="shared" si="1"/>
        <v>43940.357383925642</v>
      </c>
      <c r="J15" s="347"/>
      <c r="K15" s="398">
        <v>0</v>
      </c>
      <c r="L15" s="452">
        <v>0</v>
      </c>
      <c r="M15" s="347"/>
      <c r="N15" s="194">
        <f>O15/F15</f>
        <v>62.682857142857003</v>
      </c>
      <c r="O15" s="334">
        <f t="shared" si="2"/>
        <v>43940.357383925642</v>
      </c>
      <c r="P15" s="324">
        <f t="shared" si="3"/>
        <v>43940.357383925642</v>
      </c>
      <c r="Q15" s="315">
        <f t="shared" si="4"/>
        <v>8.2064656686353751E-2</v>
      </c>
      <c r="R15" s="315">
        <f t="shared" si="5"/>
        <v>1.310074647872907E-2</v>
      </c>
      <c r="S15" s="455">
        <f t="shared" si="6"/>
        <v>1.9090633262329085E-4</v>
      </c>
      <c r="T15" s="318"/>
      <c r="U15" s="318"/>
      <c r="V15" s="318"/>
      <c r="W15" s="317">
        <v>1</v>
      </c>
      <c r="X15" s="315">
        <f t="shared" si="7"/>
        <v>0.10468287234406196</v>
      </c>
      <c r="Y15" s="315">
        <f t="shared" si="8"/>
        <v>1.4196752542515496E-2</v>
      </c>
      <c r="Z15" s="318">
        <f t="shared" si="9"/>
        <v>3.1950875802562922E-4</v>
      </c>
    </row>
    <row r="16" spans="1:28" s="3" customFormat="1">
      <c r="A16" s="8">
        <v>2</v>
      </c>
      <c r="B16" s="54" t="s">
        <v>134</v>
      </c>
      <c r="C16" s="1" t="s">
        <v>551</v>
      </c>
      <c r="D16" s="1" t="s">
        <v>552</v>
      </c>
      <c r="E16" s="1"/>
      <c r="F16" s="294">
        <v>235.94180362566135</v>
      </c>
      <c r="G16" s="192">
        <f t="shared" si="0"/>
        <v>235.94180362566135</v>
      </c>
      <c r="H16" s="194">
        <v>59.940000000000005</v>
      </c>
      <c r="I16" s="334">
        <f t="shared" si="1"/>
        <v>14142.351709322142</v>
      </c>
      <c r="J16" s="347"/>
      <c r="K16" s="398"/>
      <c r="L16" s="452">
        <v>0</v>
      </c>
      <c r="M16" s="347"/>
      <c r="N16" s="194">
        <v>68.450986581626907</v>
      </c>
      <c r="O16" s="334">
        <f t="shared" si="2"/>
        <v>14142.351709322142</v>
      </c>
      <c r="P16" s="324">
        <f t="shared" si="3"/>
        <v>14142.351709322142</v>
      </c>
      <c r="Q16" s="315">
        <f t="shared" si="4"/>
        <v>8.253440899851433E-2</v>
      </c>
      <c r="R16" s="315">
        <f t="shared" si="5"/>
        <v>1.3182429823582418E-2</v>
      </c>
      <c r="S16" s="455">
        <f t="shared" si="6"/>
        <v>6.4974208846002834E-5</v>
      </c>
      <c r="T16" s="318"/>
      <c r="U16" s="318"/>
      <c r="V16" s="318"/>
      <c r="W16" s="317">
        <v>1</v>
      </c>
      <c r="X16" s="315">
        <f t="shared" si="7"/>
        <v>0.10528209524113905</v>
      </c>
      <c r="Y16" s="315">
        <f t="shared" si="8"/>
        <v>1.4285269501118639E-2</v>
      </c>
      <c r="Z16" s="318">
        <f t="shared" si="9"/>
        <v>1.0874873639750139E-4</v>
      </c>
    </row>
    <row r="17" spans="1:26" s="3" customFormat="1">
      <c r="A17" s="8">
        <v>3</v>
      </c>
      <c r="B17" s="54" t="s">
        <v>136</v>
      </c>
      <c r="C17" s="1" t="s">
        <v>551</v>
      </c>
      <c r="D17" s="1" t="s">
        <v>552</v>
      </c>
      <c r="E17" s="1"/>
      <c r="F17" s="294">
        <v>88.064721726642944</v>
      </c>
      <c r="G17" s="192">
        <f t="shared" si="0"/>
        <v>88.064721726642944</v>
      </c>
      <c r="H17" s="194">
        <v>59.94</v>
      </c>
      <c r="I17" s="334">
        <f t="shared" si="1"/>
        <v>5278.5994202949778</v>
      </c>
      <c r="J17" s="347"/>
      <c r="K17" s="398"/>
      <c r="L17" s="452"/>
      <c r="M17" s="347"/>
      <c r="N17" s="194">
        <v>70.63661599817523</v>
      </c>
      <c r="O17" s="334">
        <f t="shared" si="2"/>
        <v>5278.5994202949778</v>
      </c>
      <c r="P17" s="324">
        <f t="shared" si="3"/>
        <v>5278.5994202949778</v>
      </c>
      <c r="Q17" s="315">
        <f t="shared" si="4"/>
        <v>8.2709742941101727E-2</v>
      </c>
      <c r="R17" s="315">
        <f t="shared" si="5"/>
        <v>1.3212917939396029E-2</v>
      </c>
      <c r="S17" s="455">
        <f t="shared" si="6"/>
        <v>2.4344908259835274E-5</v>
      </c>
      <c r="T17" s="318"/>
      <c r="U17" s="318"/>
      <c r="V17" s="318"/>
      <c r="W17" s="317">
        <v>1</v>
      </c>
      <c r="X17" s="315">
        <f t="shared" si="7"/>
        <v>0.10550575377418582</v>
      </c>
      <c r="Y17" s="315">
        <f t="shared" si="8"/>
        <v>1.4318308247147055E-2</v>
      </c>
      <c r="Z17" s="318">
        <f t="shared" si="9"/>
        <v>4.0747066855786167E-5</v>
      </c>
    </row>
    <row r="18" spans="1:26" s="3" customFormat="1">
      <c r="A18" s="8">
        <v>2</v>
      </c>
      <c r="B18" s="54" t="s">
        <v>134</v>
      </c>
      <c r="C18" s="1" t="s">
        <v>609</v>
      </c>
      <c r="D18" s="1" t="s">
        <v>610</v>
      </c>
      <c r="E18" s="1"/>
      <c r="F18" s="294">
        <v>672.59682139033032</v>
      </c>
      <c r="G18" s="192">
        <f t="shared" si="0"/>
        <v>672.59682139033032</v>
      </c>
      <c r="H18" s="194">
        <v>78.581000000000003</v>
      </c>
      <c r="I18" s="334">
        <f t="shared" si="1"/>
        <v>52853.330821673546</v>
      </c>
      <c r="J18" s="347"/>
      <c r="K18" s="398">
        <v>0</v>
      </c>
      <c r="L18" s="452">
        <v>0</v>
      </c>
      <c r="M18" s="347"/>
      <c r="N18" s="194">
        <v>78.581000000000003</v>
      </c>
      <c r="O18" s="334">
        <f t="shared" si="2"/>
        <v>52853.330821673546</v>
      </c>
      <c r="P18" s="324">
        <f t="shared" si="3"/>
        <v>52853.330821673546</v>
      </c>
      <c r="Q18" s="315">
        <f t="shared" si="4"/>
        <v>8.4048860923353161E-2</v>
      </c>
      <c r="R18" s="315">
        <f t="shared" si="5"/>
        <v>1.3518188020135786E-2</v>
      </c>
      <c r="S18" s="455">
        <f t="shared" si="6"/>
        <v>1.8751334045415745E-4</v>
      </c>
      <c r="T18" s="318"/>
      <c r="U18" s="318"/>
      <c r="V18" s="318"/>
      <c r="W18" s="317">
        <v>1</v>
      </c>
      <c r="X18" s="315">
        <f t="shared" si="7"/>
        <v>0.10721395219296963</v>
      </c>
      <c r="Y18" s="315">
        <f t="shared" si="8"/>
        <v>1.4649117167229027E-2</v>
      </c>
      <c r="Z18" s="318">
        <f t="shared" si="9"/>
        <v>3.1388535508817628E-4</v>
      </c>
    </row>
    <row r="19" spans="1:26" s="3" customFormat="1">
      <c r="A19" s="8">
        <v>2</v>
      </c>
      <c r="B19" s="54" t="s">
        <v>82</v>
      </c>
      <c r="C19" s="1" t="s">
        <v>664</v>
      </c>
      <c r="D19" s="1" t="s">
        <v>665</v>
      </c>
      <c r="E19" s="1"/>
      <c r="F19" s="294">
        <v>32433.40982316939</v>
      </c>
      <c r="G19" s="192">
        <f t="shared" si="0"/>
        <v>32433.40982316939</v>
      </c>
      <c r="H19" s="194">
        <v>104.4330788124533</v>
      </c>
      <c r="I19" s="334">
        <f t="shared" si="1"/>
        <v>3387120.844219646</v>
      </c>
      <c r="J19" s="347"/>
      <c r="K19" s="398">
        <v>9.9736081615728729</v>
      </c>
      <c r="L19" s="452">
        <v>323478.12092000002</v>
      </c>
      <c r="M19" s="347"/>
      <c r="N19" s="194">
        <v>116.32281561460758</v>
      </c>
      <c r="O19" s="334">
        <f t="shared" si="2"/>
        <v>3710598.9651396461</v>
      </c>
      <c r="P19" s="324">
        <f t="shared" si="3"/>
        <v>3710598.9651396461</v>
      </c>
      <c r="Q19" s="315">
        <f t="shared" si="4"/>
        <v>0.14862270507289516</v>
      </c>
      <c r="R19" s="315">
        <f t="shared" si="5"/>
        <v>3.494985236505424E-2</v>
      </c>
      <c r="S19" s="455">
        <f t="shared" si="6"/>
        <v>1.1894729754604644E-2</v>
      </c>
      <c r="T19" s="318"/>
      <c r="U19" s="318"/>
      <c r="V19" s="318"/>
      <c r="W19" s="317">
        <v>1</v>
      </c>
      <c r="X19" s="315">
        <f t="shared" si="7"/>
        <v>0.18958528909756817</v>
      </c>
      <c r="Y19" s="315">
        <f t="shared" si="8"/>
        <v>3.7873750646937182E-2</v>
      </c>
      <c r="Z19" s="318">
        <f t="shared" si="9"/>
        <v>2.0121371457455742E-2</v>
      </c>
    </row>
    <row r="20" spans="1:26" s="3" customFormat="1">
      <c r="A20" s="8">
        <v>3</v>
      </c>
      <c r="B20" s="54" t="s">
        <v>82</v>
      </c>
      <c r="C20" s="1" t="s">
        <v>583</v>
      </c>
      <c r="D20" s="76" t="s">
        <v>135</v>
      </c>
      <c r="E20" s="76"/>
      <c r="F20" s="192">
        <v>88938.200800044797</v>
      </c>
      <c r="G20" s="192">
        <f t="shared" si="0"/>
        <v>0</v>
      </c>
      <c r="H20" s="372">
        <v>117.10285714285716</v>
      </c>
      <c r="I20" s="334">
        <f t="shared" si="1"/>
        <v>10414917.42283039</v>
      </c>
      <c r="J20" s="347"/>
      <c r="K20" s="398">
        <v>0</v>
      </c>
      <c r="L20" s="452">
        <v>0</v>
      </c>
      <c r="M20" s="347"/>
      <c r="N20" s="372">
        <f>H20</f>
        <v>117.10285714285716</v>
      </c>
      <c r="O20" s="334">
        <f t="shared" si="2"/>
        <v>10414917.42283039</v>
      </c>
      <c r="P20" s="324">
        <f t="shared" si="3"/>
        <v>0</v>
      </c>
      <c r="Q20" s="315">
        <f t="shared" si="4"/>
        <v>0.32569571554927412</v>
      </c>
      <c r="R20" s="315">
        <f t="shared" si="5"/>
        <v>9.5104295484116502E-2</v>
      </c>
      <c r="S20" s="455">
        <f t="shared" si="6"/>
        <v>6.0959911179376158E-2</v>
      </c>
      <c r="T20" s="318"/>
      <c r="U20" s="318"/>
      <c r="V20" s="318"/>
      <c r="W20" s="317">
        <v>0</v>
      </c>
      <c r="X20" s="315">
        <f t="shared" si="7"/>
        <v>0.18958528909756817</v>
      </c>
      <c r="Y20" s="315">
        <f t="shared" si="8"/>
        <v>3.7873750646937182E-2</v>
      </c>
      <c r="Z20" s="318">
        <f t="shared" si="9"/>
        <v>0</v>
      </c>
    </row>
    <row r="21" spans="1:26" s="3" customFormat="1">
      <c r="A21" s="8">
        <v>3</v>
      </c>
      <c r="B21" s="54" t="s">
        <v>82</v>
      </c>
      <c r="C21" s="1" t="s">
        <v>551</v>
      </c>
      <c r="D21" s="1" t="s">
        <v>552</v>
      </c>
      <c r="E21" s="1"/>
      <c r="F21" s="294">
        <v>159.4840128206024</v>
      </c>
      <c r="G21" s="192">
        <f t="shared" si="0"/>
        <v>159.4840128206024</v>
      </c>
      <c r="H21" s="194">
        <v>48.55</v>
      </c>
      <c r="I21" s="334">
        <f t="shared" si="1"/>
        <v>7742.9488224402457</v>
      </c>
      <c r="J21" s="347"/>
      <c r="K21" s="398"/>
      <c r="L21" s="452"/>
      <c r="M21" s="347"/>
      <c r="N21" s="194">
        <v>121.58391846085385</v>
      </c>
      <c r="O21" s="334">
        <f t="shared" si="2"/>
        <v>7742.9488224402457</v>
      </c>
      <c r="P21" s="324">
        <f t="shared" si="3"/>
        <v>7742.9488224402457</v>
      </c>
      <c r="Q21" s="315">
        <f t="shared" si="4"/>
        <v>0.32601324293367095</v>
      </c>
      <c r="R21" s="315">
        <f t="shared" si="5"/>
        <v>9.5149017180468337E-2</v>
      </c>
      <c r="S21" s="455">
        <f t="shared" si="6"/>
        <v>1.4652480423185476E-4</v>
      </c>
      <c r="T21" s="318"/>
      <c r="U21" s="318"/>
      <c r="V21" s="318"/>
      <c r="W21" s="317">
        <v>1</v>
      </c>
      <c r="X21" s="315">
        <f t="shared" si="7"/>
        <v>0.18999033165777282</v>
      </c>
      <c r="Y21" s="315">
        <f t="shared" si="8"/>
        <v>3.7922213752258654E-2</v>
      </c>
      <c r="Z21" s="318">
        <f t="shared" si="9"/>
        <v>1.2304368974858326E-4</v>
      </c>
    </row>
    <row r="22" spans="1:26" s="3" customFormat="1">
      <c r="A22" s="8">
        <v>1</v>
      </c>
      <c r="B22" s="54" t="s">
        <v>82</v>
      </c>
      <c r="C22" s="1" t="s">
        <v>666</v>
      </c>
      <c r="D22" s="1" t="s">
        <v>578</v>
      </c>
      <c r="E22" s="1"/>
      <c r="F22" s="294">
        <v>755.51977508935306</v>
      </c>
      <c r="G22" s="192">
        <f t="shared" si="0"/>
        <v>755.51977508935306</v>
      </c>
      <c r="H22" s="194">
        <v>112.82318494448573</v>
      </c>
      <c r="I22" s="334">
        <f t="shared" si="1"/>
        <v>85240.14731412234</v>
      </c>
      <c r="J22" s="347"/>
      <c r="K22" s="398">
        <v>8.9196198784047311</v>
      </c>
      <c r="L22" s="452">
        <v>6738.9492044148656</v>
      </c>
      <c r="M22" s="347"/>
      <c r="N22" s="194">
        <f>O22/F22</f>
        <v>121.74280482289045</v>
      </c>
      <c r="O22" s="334">
        <f t="shared" si="2"/>
        <v>91979.096518537204</v>
      </c>
      <c r="P22" s="324">
        <f t="shared" si="3"/>
        <v>91979.096518537204</v>
      </c>
      <c r="Q22" s="315">
        <f t="shared" si="4"/>
        <v>0.32751745776875946</v>
      </c>
      <c r="R22" s="315">
        <f t="shared" si="5"/>
        <v>9.5680269719978478E-2</v>
      </c>
      <c r="S22" s="455">
        <f t="shared" si="6"/>
        <v>6.9600233085736747E-4</v>
      </c>
      <c r="T22" s="318"/>
      <c r="U22" s="318"/>
      <c r="V22" s="318"/>
      <c r="W22" s="317">
        <v>1</v>
      </c>
      <c r="X22" s="315">
        <f t="shared" si="7"/>
        <v>0.19190913002868953</v>
      </c>
      <c r="Y22" s="315">
        <f t="shared" si="8"/>
        <v>3.8497910782443467E-2</v>
      </c>
      <c r="Z22" s="318">
        <f t="shared" si="9"/>
        <v>5.8615325447551494E-4</v>
      </c>
    </row>
    <row r="23" spans="1:26" s="3" customFormat="1">
      <c r="A23" s="8">
        <v>2</v>
      </c>
      <c r="B23" s="54" t="s">
        <v>82</v>
      </c>
      <c r="C23" s="1" t="s">
        <v>583</v>
      </c>
      <c r="D23" s="76" t="s">
        <v>135</v>
      </c>
      <c r="E23" s="76"/>
      <c r="F23" s="192">
        <v>6316.5595146260684</v>
      </c>
      <c r="G23" s="192">
        <f t="shared" si="0"/>
        <v>0</v>
      </c>
      <c r="H23" s="372">
        <v>123.61340571428573</v>
      </c>
      <c r="I23" s="334">
        <f t="shared" si="1"/>
        <v>780811.43399990397</v>
      </c>
      <c r="J23" s="347"/>
      <c r="K23" s="398">
        <v>0</v>
      </c>
      <c r="L23" s="452">
        <v>0</v>
      </c>
      <c r="M23" s="347"/>
      <c r="N23" s="372">
        <f>H23</f>
        <v>123.61340571428573</v>
      </c>
      <c r="O23" s="334">
        <f t="shared" si="2"/>
        <v>780811.43399990397</v>
      </c>
      <c r="P23" s="324">
        <f t="shared" si="3"/>
        <v>0</v>
      </c>
      <c r="Q23" s="315">
        <f t="shared" si="4"/>
        <v>0.34009351843837771</v>
      </c>
      <c r="R23" s="315">
        <f t="shared" si="5"/>
        <v>0.10019007763168597</v>
      </c>
      <c r="S23" s="455">
        <f t="shared" si="6"/>
        <v>5.9326387688102911E-3</v>
      </c>
      <c r="T23" s="318"/>
      <c r="U23" s="318"/>
      <c r="V23" s="318"/>
      <c r="W23" s="317">
        <v>0</v>
      </c>
      <c r="X23" s="315">
        <f t="shared" si="7"/>
        <v>0.19190913002868953</v>
      </c>
      <c r="Y23" s="315">
        <f t="shared" si="8"/>
        <v>3.8497910782443467E-2</v>
      </c>
      <c r="Z23" s="318">
        <f t="shared" si="9"/>
        <v>0</v>
      </c>
    </row>
    <row r="24" spans="1:26" s="3" customFormat="1">
      <c r="A24" s="8">
        <v>3</v>
      </c>
      <c r="B24" s="54" t="s">
        <v>82</v>
      </c>
      <c r="C24" s="1" t="s">
        <v>664</v>
      </c>
      <c r="D24" s="1" t="s">
        <v>665</v>
      </c>
      <c r="E24" s="1"/>
      <c r="F24" s="294">
        <v>6921.9195493771931</v>
      </c>
      <c r="G24" s="192">
        <f t="shared" si="0"/>
        <v>6921.9195493771931</v>
      </c>
      <c r="H24" s="194">
        <v>106.84</v>
      </c>
      <c r="I24" s="334">
        <f t="shared" si="1"/>
        <v>739537.88465545932</v>
      </c>
      <c r="J24" s="347"/>
      <c r="K24" s="398">
        <v>18.121918392179175</v>
      </c>
      <c r="L24" s="452">
        <v>125438.46119104314</v>
      </c>
      <c r="M24" s="347"/>
      <c r="N24" s="194">
        <v>127.26587050113076</v>
      </c>
      <c r="O24" s="334">
        <f t="shared" si="2"/>
        <v>864976.34584650246</v>
      </c>
      <c r="P24" s="324">
        <f t="shared" si="3"/>
        <v>864976.34584650246</v>
      </c>
      <c r="Q24" s="315">
        <f t="shared" si="4"/>
        <v>0.35387483087620364</v>
      </c>
      <c r="R24" s="315">
        <f t="shared" si="5"/>
        <v>0.10518600494278484</v>
      </c>
      <c r="S24" s="455">
        <f t="shared" si="6"/>
        <v>6.7334426826510512E-3</v>
      </c>
      <c r="T24" s="318"/>
      <c r="U24" s="318"/>
      <c r="V24" s="318"/>
      <c r="W24" s="317">
        <v>1</v>
      </c>
      <c r="X24" s="315">
        <f t="shared" si="7"/>
        <v>0.20948877306766986</v>
      </c>
      <c r="Y24" s="315">
        <f t="shared" si="8"/>
        <v>4.3911796462257499E-2</v>
      </c>
      <c r="Z24" s="318">
        <f t="shared" si="9"/>
        <v>5.6076986167204997E-3</v>
      </c>
    </row>
    <row r="25" spans="1:26" s="3" customFormat="1">
      <c r="A25" s="8">
        <v>1</v>
      </c>
      <c r="B25" s="54" t="s">
        <v>82</v>
      </c>
      <c r="C25" s="1" t="s">
        <v>664</v>
      </c>
      <c r="D25" s="1" t="s">
        <v>665</v>
      </c>
      <c r="E25" s="1"/>
      <c r="F25" s="294">
        <v>20644.363654471883</v>
      </c>
      <c r="G25" s="192">
        <f t="shared" si="0"/>
        <v>20644.363654471883</v>
      </c>
      <c r="H25" s="194">
        <v>111.34355725743856</v>
      </c>
      <c r="I25" s="334">
        <f t="shared" si="1"/>
        <v>2298616.8866050737</v>
      </c>
      <c r="J25" s="347"/>
      <c r="K25" s="398">
        <v>20.870988750313149</v>
      </c>
      <c r="L25" s="452">
        <v>430868.28158985631</v>
      </c>
      <c r="M25" s="347"/>
      <c r="N25" s="194">
        <f>O25/F25</f>
        <v>132.21454600775172</v>
      </c>
      <c r="O25" s="334">
        <f t="shared" si="2"/>
        <v>2729485.1681949301</v>
      </c>
      <c r="P25" s="324">
        <f t="shared" si="3"/>
        <v>2729485.1681949301</v>
      </c>
      <c r="Q25" s="315">
        <f t="shared" si="4"/>
        <v>0.39497707478020483</v>
      </c>
      <c r="R25" s="315">
        <f t="shared" si="5"/>
        <v>0.12095095569837951</v>
      </c>
      <c r="S25" s="455">
        <f t="shared" si="6"/>
        <v>2.1484757162283138E-2</v>
      </c>
      <c r="T25" s="318"/>
      <c r="U25" s="318"/>
      <c r="V25" s="318"/>
      <c r="W25" s="317">
        <v>1</v>
      </c>
      <c r="X25" s="315">
        <f t="shared" si="7"/>
        <v>0.26191939454826318</v>
      </c>
      <c r="Y25" s="315">
        <f t="shared" si="8"/>
        <v>6.0995640126090656E-2</v>
      </c>
      <c r="Z25" s="318">
        <f t="shared" si="9"/>
        <v>1.9215861100868047E-2</v>
      </c>
    </row>
    <row r="26" spans="1:26" s="3" customFormat="1">
      <c r="A26" s="8">
        <v>1</v>
      </c>
      <c r="B26" s="54" t="s">
        <v>83</v>
      </c>
      <c r="C26" s="1" t="s">
        <v>666</v>
      </c>
      <c r="D26" s="1" t="s">
        <v>578</v>
      </c>
      <c r="E26" s="1"/>
      <c r="F26" s="334">
        <v>69.082778663239068</v>
      </c>
      <c r="G26" s="192">
        <f t="shared" si="0"/>
        <v>69.082778663239068</v>
      </c>
      <c r="H26" s="194">
        <v>125.36571428571429</v>
      </c>
      <c r="I26" s="334">
        <f t="shared" si="1"/>
        <v>8660.611891958868</v>
      </c>
      <c r="J26" s="347"/>
      <c r="K26" s="398">
        <v>9.5142015359999998</v>
      </c>
      <c r="L26" s="452">
        <v>657.26747886893713</v>
      </c>
      <c r="M26" s="347"/>
      <c r="N26" s="194">
        <f>O26/F26</f>
        <v>134.87991582171426</v>
      </c>
      <c r="O26" s="334">
        <f t="shared" si="2"/>
        <v>9317.8793708278045</v>
      </c>
      <c r="P26" s="324">
        <f t="shared" si="3"/>
        <v>9317.8793708278045</v>
      </c>
      <c r="Q26" s="315">
        <f t="shared" si="4"/>
        <v>0.39511461630319422</v>
      </c>
      <c r="R26" s="315">
        <f t="shared" si="5"/>
        <v>0.12100477387300795</v>
      </c>
      <c r="S26" s="455">
        <f t="shared" si="6"/>
        <v>7.539145495161727E-5</v>
      </c>
      <c r="T26" s="318"/>
      <c r="U26" s="318"/>
      <c r="V26" s="318"/>
      <c r="W26" s="317">
        <v>1</v>
      </c>
      <c r="X26" s="315">
        <f t="shared" si="7"/>
        <v>0.26209484451996212</v>
      </c>
      <c r="Y26" s="315">
        <f t="shared" si="8"/>
        <v>6.1053960719404214E-2</v>
      </c>
      <c r="Z26" s="318">
        <f t="shared" si="9"/>
        <v>7.052468440015179E-5</v>
      </c>
    </row>
    <row r="27" spans="1:26" s="3" customFormat="1">
      <c r="A27" s="8">
        <v>1</v>
      </c>
      <c r="B27" s="54" t="s">
        <v>83</v>
      </c>
      <c r="C27" s="1" t="s">
        <v>664</v>
      </c>
      <c r="D27" s="1" t="s">
        <v>665</v>
      </c>
      <c r="E27" s="1"/>
      <c r="F27" s="294">
        <v>104.9526829691517</v>
      </c>
      <c r="G27" s="192">
        <f t="shared" si="0"/>
        <v>104.9526829691517</v>
      </c>
      <c r="H27" s="194">
        <v>125.36571428571428</v>
      </c>
      <c r="I27" s="334">
        <f t="shared" si="1"/>
        <v>13157.468066629823</v>
      </c>
      <c r="J27" s="347"/>
      <c r="K27" s="398">
        <v>15.3767412</v>
      </c>
      <c r="L27" s="452">
        <v>1613.8302442622933</v>
      </c>
      <c r="M27" s="347"/>
      <c r="N27" s="194">
        <f>O27/F27</f>
        <v>140.74245548571429</v>
      </c>
      <c r="O27" s="334">
        <f t="shared" si="2"/>
        <v>14771.298310892116</v>
      </c>
      <c r="P27" s="324">
        <f t="shared" si="3"/>
        <v>14771.298310892116</v>
      </c>
      <c r="Q27" s="315">
        <f t="shared" si="4"/>
        <v>0.39532357361696652</v>
      </c>
      <c r="R27" s="315">
        <f t="shared" si="5"/>
        <v>0.12109008988541238</v>
      </c>
      <c r="S27" s="455">
        <f t="shared" si="6"/>
        <v>1.1458034845972297E-4</v>
      </c>
      <c r="T27" s="318"/>
      <c r="U27" s="318"/>
      <c r="V27" s="318"/>
      <c r="W27" s="317">
        <v>1</v>
      </c>
      <c r="X27" s="315">
        <f t="shared" si="7"/>
        <v>0.26236139351542781</v>
      </c>
      <c r="Y27" s="315">
        <f t="shared" si="8"/>
        <v>6.1146414253863975E-2</v>
      </c>
      <c r="Z27" s="318">
        <f t="shared" si="9"/>
        <v>1.0722089621939168E-4</v>
      </c>
    </row>
    <row r="28" spans="1:26" s="3" customFormat="1">
      <c r="A28" s="8">
        <v>3</v>
      </c>
      <c r="B28" s="54" t="s">
        <v>82</v>
      </c>
      <c r="C28" s="1" t="s">
        <v>585</v>
      </c>
      <c r="D28" s="76" t="s">
        <v>635</v>
      </c>
      <c r="E28" s="76"/>
      <c r="F28" s="294">
        <v>10810</v>
      </c>
      <c r="G28" s="192">
        <f t="shared" si="0"/>
        <v>0</v>
      </c>
      <c r="H28" s="194">
        <v>153.28962840000003</v>
      </c>
      <c r="I28" s="334">
        <f t="shared" si="1"/>
        <v>1657060.8830040002</v>
      </c>
      <c r="J28" s="347"/>
      <c r="K28" s="398">
        <v>0</v>
      </c>
      <c r="L28" s="452">
        <v>0</v>
      </c>
      <c r="M28" s="347"/>
      <c r="N28" s="194">
        <v>153.28962840000003</v>
      </c>
      <c r="O28" s="334">
        <f t="shared" si="2"/>
        <v>1657060.8830040002</v>
      </c>
      <c r="P28" s="324">
        <f t="shared" si="3"/>
        <v>0</v>
      </c>
      <c r="Q28" s="315">
        <f t="shared" si="4"/>
        <v>0.41684592538516974</v>
      </c>
      <c r="R28" s="315">
        <f t="shared" si="5"/>
        <v>0.13066093625746147</v>
      </c>
      <c r="S28" s="455">
        <f t="shared" si="6"/>
        <v>1.2061523510276296E-2</v>
      </c>
      <c r="T28" s="318"/>
      <c r="U28" s="50">
        <f>(0.4-Q27)/(Q28-Q27)</f>
        <v>0.21728231344784465</v>
      </c>
      <c r="V28" s="50">
        <f>100*(R27+(U28*(R28-R27)))</f>
        <v>12.316966552678512</v>
      </c>
      <c r="W28" s="317">
        <v>0</v>
      </c>
      <c r="X28" s="315">
        <f t="shared" si="7"/>
        <v>0.26236139351542781</v>
      </c>
      <c r="Y28" s="315">
        <f t="shared" si="8"/>
        <v>6.1146414253863975E-2</v>
      </c>
      <c r="Z28" s="318">
        <f t="shared" si="9"/>
        <v>0</v>
      </c>
    </row>
    <row r="29" spans="1:26" s="3" customFormat="1">
      <c r="A29" s="8">
        <v>3</v>
      </c>
      <c r="B29" s="54" t="s">
        <v>82</v>
      </c>
      <c r="C29" s="1" t="s">
        <v>586</v>
      </c>
      <c r="D29" s="76" t="s">
        <v>430</v>
      </c>
      <c r="E29" s="76"/>
      <c r="F29" s="334">
        <v>690</v>
      </c>
      <c r="G29" s="192">
        <f t="shared" si="0"/>
        <v>0</v>
      </c>
      <c r="H29" s="194">
        <v>153.28962840000003</v>
      </c>
      <c r="I29" s="334">
        <f t="shared" si="1"/>
        <v>105769.84359600002</v>
      </c>
      <c r="J29" s="347"/>
      <c r="K29" s="398">
        <v>0</v>
      </c>
      <c r="L29" s="452">
        <v>0</v>
      </c>
      <c r="M29" s="347"/>
      <c r="N29" s="194">
        <v>153.28962840000003</v>
      </c>
      <c r="O29" s="334">
        <f t="shared" si="2"/>
        <v>105769.84359600002</v>
      </c>
      <c r="P29" s="324">
        <f t="shared" si="3"/>
        <v>0</v>
      </c>
      <c r="Q29" s="315">
        <f t="shared" si="4"/>
        <v>0.41821969251931035</v>
      </c>
      <c r="R29" s="315">
        <f t="shared" si="5"/>
        <v>0.13127184134503908</v>
      </c>
      <c r="S29" s="455">
        <f t="shared" si="6"/>
        <v>7.8735105950352021E-4</v>
      </c>
      <c r="T29" s="318"/>
      <c r="U29"/>
      <c r="V29" s="50">
        <f>100-V28</f>
        <v>87.683033447321492</v>
      </c>
      <c r="W29" s="317">
        <v>0</v>
      </c>
      <c r="X29" s="315">
        <f t="shared" si="7"/>
        <v>0.26236139351542781</v>
      </c>
      <c r="Y29" s="315">
        <f t="shared" si="8"/>
        <v>6.1146414253863975E-2</v>
      </c>
      <c r="Z29" s="318">
        <f t="shared" si="9"/>
        <v>0</v>
      </c>
    </row>
    <row r="30" spans="1:26" s="3" customFormat="1">
      <c r="A30" s="8">
        <v>2</v>
      </c>
      <c r="B30" s="54" t="s">
        <v>134</v>
      </c>
      <c r="C30" s="1" t="s">
        <v>664</v>
      </c>
      <c r="D30" s="1" t="s">
        <v>665</v>
      </c>
      <c r="E30" s="1"/>
      <c r="F30" s="294">
        <v>1139.8754213249404</v>
      </c>
      <c r="G30" s="192">
        <f t="shared" si="0"/>
        <v>1139.8754213249404</v>
      </c>
      <c r="H30" s="194">
        <v>157.16200000000001</v>
      </c>
      <c r="I30" s="334">
        <f t="shared" si="1"/>
        <v>179145.10096627029</v>
      </c>
      <c r="J30" s="347"/>
      <c r="K30" s="398">
        <v>2.0645766074038225</v>
      </c>
      <c r="L30" s="452">
        <v>2353.3601302220482</v>
      </c>
      <c r="M30" s="347"/>
      <c r="N30" s="194">
        <v>158.86627205123315</v>
      </c>
      <c r="O30" s="334">
        <f t="shared" si="2"/>
        <v>181498.46109649233</v>
      </c>
      <c r="P30" s="324">
        <f t="shared" si="3"/>
        <v>181498.46109649233</v>
      </c>
      <c r="Q30" s="315">
        <f t="shared" si="4"/>
        <v>0.42048914670892035</v>
      </c>
      <c r="R30" s="315">
        <f t="shared" si="5"/>
        <v>0.13232013951303925</v>
      </c>
      <c r="S30" s="455">
        <f t="shared" si="6"/>
        <v>1.3052013637434824E-3</v>
      </c>
      <c r="T30" s="318"/>
      <c r="U30" s="50">
        <f>(SUM(O$10:O27)+((1-U28)*O27))/(SUM(F$10:F27)+(U28*F28))</f>
        <v>104.40954402335255</v>
      </c>
      <c r="V30" s="50"/>
      <c r="W30" s="317">
        <v>1</v>
      </c>
      <c r="X30" s="315">
        <f t="shared" si="7"/>
        <v>0.26525634236203827</v>
      </c>
      <c r="Y30" s="315">
        <f t="shared" si="8"/>
        <v>6.2282412855625691E-2</v>
      </c>
      <c r="Z30" s="318">
        <f t="shared" si="9"/>
        <v>1.1701062152505925E-3</v>
      </c>
    </row>
    <row r="31" spans="1:26" s="3" customFormat="1">
      <c r="A31" s="8">
        <v>1</v>
      </c>
      <c r="B31" s="54" t="s">
        <v>82</v>
      </c>
      <c r="C31" s="1" t="s">
        <v>583</v>
      </c>
      <c r="D31" s="76" t="s">
        <v>57</v>
      </c>
      <c r="E31" s="76"/>
      <c r="F31" s="294">
        <v>780.82950551405679</v>
      </c>
      <c r="G31" s="192">
        <f t="shared" si="0"/>
        <v>0</v>
      </c>
      <c r="H31" s="194">
        <v>168.71165304428573</v>
      </c>
      <c r="I31" s="334">
        <f t="shared" si="1"/>
        <v>131735.03662102873</v>
      </c>
      <c r="J31" s="347"/>
      <c r="K31" s="398">
        <v>0</v>
      </c>
      <c r="L31" s="452">
        <v>0</v>
      </c>
      <c r="M31" s="347"/>
      <c r="N31" s="194">
        <f>O31/F31</f>
        <v>168.71165304428573</v>
      </c>
      <c r="O31" s="334">
        <f t="shared" si="2"/>
        <v>131735.03662102873</v>
      </c>
      <c r="P31" s="324">
        <f t="shared" si="3"/>
        <v>0</v>
      </c>
      <c r="Q31" s="315">
        <f t="shared" si="4"/>
        <v>0.42204375237854713</v>
      </c>
      <c r="R31" s="315">
        <f t="shared" si="5"/>
        <v>0.13308101427041719</v>
      </c>
      <c r="S31" s="455">
        <f t="shared" si="6"/>
        <v>8.9721228337121743E-4</v>
      </c>
      <c r="T31" s="318"/>
      <c r="U31" s="318"/>
      <c r="V31" s="318"/>
      <c r="W31" s="317">
        <v>0</v>
      </c>
      <c r="X31" s="315">
        <f t="shared" si="7"/>
        <v>0.26525634236203827</v>
      </c>
      <c r="Y31" s="315">
        <f t="shared" si="8"/>
        <v>6.2282412855625691E-2</v>
      </c>
      <c r="Z31" s="318">
        <f t="shared" si="9"/>
        <v>0</v>
      </c>
    </row>
    <row r="32" spans="1:26" s="3" customFormat="1">
      <c r="A32" s="8">
        <v>2</v>
      </c>
      <c r="B32" s="54" t="s">
        <v>134</v>
      </c>
      <c r="C32" s="1" t="s">
        <v>666</v>
      </c>
      <c r="D32" s="1" t="s">
        <v>578</v>
      </c>
      <c r="E32" s="1"/>
      <c r="F32" s="294">
        <v>230.56324860782343</v>
      </c>
      <c r="G32" s="192">
        <f t="shared" si="0"/>
        <v>230.56324860782343</v>
      </c>
      <c r="H32" s="194">
        <v>157.16199999999998</v>
      </c>
      <c r="I32" s="334">
        <f t="shared" si="1"/>
        <v>36235.781277702743</v>
      </c>
      <c r="J32" s="347"/>
      <c r="K32" s="398">
        <v>46.498168403113155</v>
      </c>
      <c r="L32" s="452">
        <v>10720.768761335419</v>
      </c>
      <c r="M32" s="347"/>
      <c r="N32" s="194">
        <v>203.73939123442833</v>
      </c>
      <c r="O32" s="334">
        <f t="shared" si="2"/>
        <v>46956.550039038164</v>
      </c>
      <c r="P32" s="324">
        <f t="shared" si="3"/>
        <v>46956.550039038164</v>
      </c>
      <c r="Q32" s="315">
        <f t="shared" si="4"/>
        <v>0.42250279616590675</v>
      </c>
      <c r="R32" s="315">
        <f t="shared" si="5"/>
        <v>0.13335222574562283</v>
      </c>
      <c r="S32" s="455">
        <f t="shared" si="6"/>
        <v>2.6537932266988034E-4</v>
      </c>
      <c r="T32" s="318"/>
      <c r="U32" s="318"/>
      <c r="V32" s="318"/>
      <c r="W32" s="317">
        <v>1</v>
      </c>
      <c r="X32" s="315">
        <f t="shared" si="7"/>
        <v>0.26584190530877866</v>
      </c>
      <c r="Y32" s="315">
        <f t="shared" si="8"/>
        <v>6.2576313833439173E-2</v>
      </c>
      <c r="Z32" s="318">
        <f t="shared" si="9"/>
        <v>2.3787881098848011E-4</v>
      </c>
    </row>
    <row r="33" spans="1:29" s="3" customFormat="1">
      <c r="A33" s="8">
        <v>2</v>
      </c>
      <c r="B33" s="54" t="s">
        <v>82</v>
      </c>
      <c r="C33" s="1" t="s">
        <v>666</v>
      </c>
      <c r="D33" s="1" t="s">
        <v>578</v>
      </c>
      <c r="E33" s="1"/>
      <c r="F33" s="294">
        <v>2003.1246358252829</v>
      </c>
      <c r="G33" s="192">
        <f t="shared" si="0"/>
        <v>2003.1246358252829</v>
      </c>
      <c r="H33" s="194">
        <v>104.1336143104833</v>
      </c>
      <c r="I33" s="334">
        <f t="shared" si="1"/>
        <v>208592.60824285733</v>
      </c>
      <c r="J33" s="347"/>
      <c r="K33" s="398">
        <v>104.69269510332566</v>
      </c>
      <c r="L33" s="452">
        <v>209712.51675241659</v>
      </c>
      <c r="M33" s="347"/>
      <c r="N33" s="194">
        <v>207.86403296943121</v>
      </c>
      <c r="O33" s="334">
        <f t="shared" si="2"/>
        <v>418305.12499527389</v>
      </c>
      <c r="P33" s="324">
        <f t="shared" si="3"/>
        <v>418305.12499527389</v>
      </c>
      <c r="Q33" s="315">
        <f t="shared" si="4"/>
        <v>0.42649095093443457</v>
      </c>
      <c r="R33" s="315">
        <f t="shared" si="5"/>
        <v>0.13576827100324351</v>
      </c>
      <c r="S33" s="455">
        <f t="shared" si="6"/>
        <v>2.3126242685309606E-3</v>
      </c>
      <c r="T33" s="318"/>
      <c r="U33" s="318"/>
      <c r="V33" s="318"/>
      <c r="W33" s="317">
        <v>1</v>
      </c>
      <c r="X33" s="315">
        <f t="shared" si="7"/>
        <v>0.27092925366774134</v>
      </c>
      <c r="Y33" s="315">
        <f t="shared" si="8"/>
        <v>6.5194484997170177E-2</v>
      </c>
      <c r="Z33" s="318">
        <f t="shared" si="9"/>
        <v>2.0807273110034458E-3</v>
      </c>
    </row>
    <row r="34" spans="1:29" s="3" customFormat="1">
      <c r="A34" s="8">
        <v>2</v>
      </c>
      <c r="B34" s="54" t="s">
        <v>82</v>
      </c>
      <c r="C34" s="1" t="s">
        <v>459</v>
      </c>
      <c r="D34" s="1" t="s">
        <v>550</v>
      </c>
      <c r="E34" s="1"/>
      <c r="F34" s="294">
        <v>7141</v>
      </c>
      <c r="G34" s="192">
        <f t="shared" si="0"/>
        <v>7141</v>
      </c>
      <c r="H34" s="194">
        <v>185.90456049852691</v>
      </c>
      <c r="I34" s="334">
        <f t="shared" si="1"/>
        <v>1327544.4665199807</v>
      </c>
      <c r="J34" s="347"/>
      <c r="K34" s="398">
        <v>36.177270817396085</v>
      </c>
      <c r="L34" s="452">
        <v>258341.89090702543</v>
      </c>
      <c r="M34" s="347"/>
      <c r="N34" s="194">
        <v>222.06354028887174</v>
      </c>
      <c r="O34" s="334">
        <f t="shared" si="2"/>
        <v>1585886.3574270061</v>
      </c>
      <c r="P34" s="324">
        <f t="shared" si="3"/>
        <v>1585886.3574270061</v>
      </c>
      <c r="Q34" s="315">
        <f t="shared" si="4"/>
        <v>0.44070844528935954</v>
      </c>
      <c r="R34" s="315">
        <f t="shared" si="5"/>
        <v>0.14492802780285277</v>
      </c>
      <c r="S34" s="455">
        <f t="shared" si="6"/>
        <v>8.3386044766821307E-3</v>
      </c>
      <c r="T34" s="318"/>
      <c r="U34" s="318"/>
      <c r="V34" s="318"/>
      <c r="W34" s="317">
        <v>1</v>
      </c>
      <c r="X34" s="315">
        <f t="shared" si="7"/>
        <v>0.28906529671849507</v>
      </c>
      <c r="Y34" s="315">
        <f t="shared" si="8"/>
        <v>7.512054538195917E-2</v>
      </c>
      <c r="Z34" s="318">
        <f t="shared" si="9"/>
        <v>7.6113258423685529E-3</v>
      </c>
    </row>
    <row r="35" spans="1:29" s="3" customFormat="1">
      <c r="A35" s="8">
        <v>3</v>
      </c>
      <c r="B35" s="54" t="s">
        <v>136</v>
      </c>
      <c r="C35" s="1" t="s">
        <v>664</v>
      </c>
      <c r="D35" s="1" t="s">
        <v>665</v>
      </c>
      <c r="E35" s="1"/>
      <c r="F35" s="294">
        <v>563.64255215446599</v>
      </c>
      <c r="G35" s="192">
        <f t="shared" si="0"/>
        <v>563.64255215446599</v>
      </c>
      <c r="H35" s="194">
        <v>179.68</v>
      </c>
      <c r="I35" s="334">
        <f t="shared" si="1"/>
        <v>101275.29377111445</v>
      </c>
      <c r="J35" s="347"/>
      <c r="K35" s="398">
        <v>55.019240916873322</v>
      </c>
      <c r="L35" s="452">
        <v>31011.185367987902</v>
      </c>
      <c r="M35" s="347"/>
      <c r="N35" s="194">
        <v>234.7488078005822</v>
      </c>
      <c r="O35" s="334">
        <f t="shared" si="2"/>
        <v>132286.47913910236</v>
      </c>
      <c r="P35" s="324">
        <f t="shared" si="3"/>
        <v>132286.47913910236</v>
      </c>
      <c r="Q35" s="315">
        <f t="shared" si="4"/>
        <v>0.44183063893218988</v>
      </c>
      <c r="R35" s="315">
        <f t="shared" si="5"/>
        <v>0.14569208757997115</v>
      </c>
      <c r="S35" s="455">
        <f t="shared" si="6"/>
        <v>6.6424770390150671E-4</v>
      </c>
      <c r="T35" s="318"/>
      <c r="U35" s="318"/>
      <c r="V35" s="318"/>
      <c r="W35" s="317">
        <v>1</v>
      </c>
      <c r="X35" s="315">
        <f t="shared" si="7"/>
        <v>0.29049678328775846</v>
      </c>
      <c r="Y35" s="315">
        <f t="shared" si="8"/>
        <v>7.594852626083895E-2</v>
      </c>
      <c r="Z35" s="318">
        <f t="shared" si="9"/>
        <v>6.1338198649555449E-4</v>
      </c>
    </row>
    <row r="36" spans="1:29" s="3" customFormat="1">
      <c r="A36" s="8">
        <v>3</v>
      </c>
      <c r="B36" s="54" t="s">
        <v>82</v>
      </c>
      <c r="C36" s="1" t="s">
        <v>666</v>
      </c>
      <c r="D36" s="1" t="s">
        <v>578</v>
      </c>
      <c r="E36" s="1"/>
      <c r="F36" s="294">
        <v>7721.8719526795594</v>
      </c>
      <c r="G36" s="192">
        <f t="shared" si="0"/>
        <v>7721.8719526795594</v>
      </c>
      <c r="H36" s="194">
        <v>106.84</v>
      </c>
      <c r="I36" s="334">
        <f t="shared" si="1"/>
        <v>825004.79942428414</v>
      </c>
      <c r="J36" s="347"/>
      <c r="K36" s="398">
        <v>106.10534924342122</v>
      </c>
      <c r="L36" s="452">
        <v>819331.92035204358</v>
      </c>
      <c r="M36" s="347"/>
      <c r="N36" s="194">
        <v>252.33550280818184</v>
      </c>
      <c r="O36" s="334">
        <f t="shared" si="2"/>
        <v>1644336.7197763277</v>
      </c>
      <c r="P36" s="324">
        <f t="shared" si="3"/>
        <v>1644336.7197763277</v>
      </c>
      <c r="Q36" s="315">
        <f t="shared" si="4"/>
        <v>0.45720463009542683</v>
      </c>
      <c r="R36" s="315">
        <f t="shared" si="5"/>
        <v>0.15518944177517027</v>
      </c>
      <c r="S36" s="455">
        <f t="shared" si="6"/>
        <v>9.1960103079817713E-3</v>
      </c>
      <c r="T36" s="318"/>
      <c r="U36" s="318"/>
      <c r="V36" s="318"/>
      <c r="W36" s="317">
        <v>1</v>
      </c>
      <c r="X36" s="315">
        <f t="shared" si="7"/>
        <v>0.31010807052570888</v>
      </c>
      <c r="Y36" s="315">
        <f t="shared" si="8"/>
        <v>8.6240427377831136E-2</v>
      </c>
      <c r="Z36" s="318">
        <f t="shared" si="9"/>
        <v>8.5979001480125435E-3</v>
      </c>
    </row>
    <row r="37" spans="1:29" s="3" customFormat="1">
      <c r="A37" s="8">
        <v>2</v>
      </c>
      <c r="B37" s="54" t="s">
        <v>82</v>
      </c>
      <c r="C37" s="1" t="s">
        <v>554</v>
      </c>
      <c r="D37" s="1" t="s">
        <v>555</v>
      </c>
      <c r="E37" s="1"/>
      <c r="F37" s="294">
        <v>17516</v>
      </c>
      <c r="G37" s="192">
        <f t="shared" si="0"/>
        <v>17516</v>
      </c>
      <c r="H37" s="194">
        <v>206.16256049852689</v>
      </c>
      <c r="I37" s="334">
        <f t="shared" si="1"/>
        <v>3611143.4096921971</v>
      </c>
      <c r="J37" s="347"/>
      <c r="K37" s="398">
        <v>50.560093280826621</v>
      </c>
      <c r="L37" s="452">
        <v>885610.59390695905</v>
      </c>
      <c r="M37" s="347"/>
      <c r="N37" s="194">
        <v>273.59431087753222</v>
      </c>
      <c r="O37" s="334">
        <f t="shared" si="2"/>
        <v>4496754.0035991557</v>
      </c>
      <c r="P37" s="324">
        <f t="shared" si="3"/>
        <v>4496754.0035991557</v>
      </c>
      <c r="Q37" s="315">
        <f t="shared" si="4"/>
        <v>0.49207840563398814</v>
      </c>
      <c r="R37" s="315">
        <f t="shared" si="5"/>
        <v>0.18116177760348537</v>
      </c>
      <c r="S37" s="455">
        <f t="shared" si="6"/>
        <v>2.1375246583859059E-2</v>
      </c>
      <c r="T37" s="318"/>
      <c r="U37" s="318"/>
      <c r="V37" s="318"/>
      <c r="W37" s="317">
        <v>1</v>
      </c>
      <c r="X37" s="315">
        <f t="shared" si="7"/>
        <v>0.35459356696556349</v>
      </c>
      <c r="Y37" s="315">
        <f t="shared" si="8"/>
        <v>0.1143856040900416</v>
      </c>
      <c r="Z37" s="318">
        <f t="shared" si="9"/>
        <v>2.0644633719577313E-2</v>
      </c>
    </row>
    <row r="38" spans="1:29" s="3" customFormat="1">
      <c r="A38" s="8">
        <v>2</v>
      </c>
      <c r="B38" s="54" t="s">
        <v>134</v>
      </c>
      <c r="C38" s="1" t="s">
        <v>583</v>
      </c>
      <c r="D38" s="76" t="s">
        <v>135</v>
      </c>
      <c r="E38" s="76"/>
      <c r="F38" s="192">
        <v>986.63250000000005</v>
      </c>
      <c r="G38" s="192">
        <f t="shared" si="0"/>
        <v>0</v>
      </c>
      <c r="H38" s="372">
        <v>279.77170731428572</v>
      </c>
      <c r="I38" s="334">
        <f t="shared" si="1"/>
        <v>276031.859016762</v>
      </c>
      <c r="J38" s="347"/>
      <c r="K38" s="398">
        <v>0</v>
      </c>
      <c r="L38" s="454">
        <v>0</v>
      </c>
      <c r="M38" s="347"/>
      <c r="N38" s="372">
        <v>279.77170731428572</v>
      </c>
      <c r="O38" s="334">
        <f t="shared" si="2"/>
        <v>276031.859016762</v>
      </c>
      <c r="P38" s="324">
        <f t="shared" si="3"/>
        <v>0</v>
      </c>
      <c r="Q38" s="315">
        <f t="shared" si="4"/>
        <v>0.49404275824554611</v>
      </c>
      <c r="R38" s="315">
        <f t="shared" si="5"/>
        <v>0.18275608143597416</v>
      </c>
      <c r="S38" s="455">
        <f t="shared" si="6"/>
        <v>1.2222266867826027E-3</v>
      </c>
      <c r="T38" s="318"/>
      <c r="U38" s="318"/>
      <c r="V38" s="318"/>
      <c r="W38" s="317">
        <v>0</v>
      </c>
      <c r="X38" s="315">
        <f t="shared" si="7"/>
        <v>0.35459356696556349</v>
      </c>
      <c r="Y38" s="315">
        <f t="shared" si="8"/>
        <v>0.1143856040900416</v>
      </c>
      <c r="Z38" s="318">
        <f t="shared" si="9"/>
        <v>0</v>
      </c>
    </row>
    <row r="39" spans="1:29" s="3" customFormat="1">
      <c r="A39" s="8">
        <v>2</v>
      </c>
      <c r="B39" s="54" t="s">
        <v>82</v>
      </c>
      <c r="C39" s="1" t="s">
        <v>634</v>
      </c>
      <c r="D39" s="1" t="s">
        <v>260</v>
      </c>
      <c r="E39" s="1"/>
      <c r="F39" s="334">
        <v>8522.9731000000011</v>
      </c>
      <c r="G39" s="192">
        <f t="shared" si="0"/>
        <v>8522.9731000000011</v>
      </c>
      <c r="H39" s="194">
        <v>198.99997394101834</v>
      </c>
      <c r="I39" s="334">
        <f t="shared" si="1"/>
        <v>1696071.4248000006</v>
      </c>
      <c r="J39" s="347"/>
      <c r="K39" s="398">
        <v>43.327894650701062</v>
      </c>
      <c r="L39" s="452">
        <v>369282.48058755911</v>
      </c>
      <c r="M39" s="347"/>
      <c r="N39" s="194">
        <v>281.95544046250751</v>
      </c>
      <c r="O39" s="334">
        <f t="shared" si="2"/>
        <v>2065353.9053875597</v>
      </c>
      <c r="P39" s="324">
        <f t="shared" si="3"/>
        <v>2065353.9053875597</v>
      </c>
      <c r="Q39" s="315">
        <f t="shared" si="4"/>
        <v>0.51101171524546596</v>
      </c>
      <c r="R39" s="315">
        <f t="shared" si="5"/>
        <v>0.19468514519888253</v>
      </c>
      <c r="S39" s="455">
        <f t="shared" si="6"/>
        <v>1.0649942198482183E-2</v>
      </c>
      <c r="T39" s="318"/>
      <c r="U39" s="318"/>
      <c r="V39" s="318"/>
      <c r="W39" s="317">
        <v>1</v>
      </c>
      <c r="X39" s="315">
        <f t="shared" si="7"/>
        <v>0.37623941587496212</v>
      </c>
      <c r="Y39" s="315">
        <f t="shared" si="8"/>
        <v>0.12731265115418175</v>
      </c>
      <c r="Z39" s="318">
        <f t="shared" si="9"/>
        <v>1.0587736409889418E-2</v>
      </c>
    </row>
    <row r="40" spans="1:29" s="3" customFormat="1">
      <c r="A40" s="8">
        <v>3</v>
      </c>
      <c r="B40" s="54" t="s">
        <v>82</v>
      </c>
      <c r="C40" s="1" t="s">
        <v>459</v>
      </c>
      <c r="D40" s="1" t="s">
        <v>550</v>
      </c>
      <c r="E40" s="1"/>
      <c r="F40" s="294">
        <v>2297</v>
      </c>
      <c r="G40" s="192">
        <f t="shared" si="0"/>
        <v>2297</v>
      </c>
      <c r="H40" s="194">
        <v>208.74217356929245</v>
      </c>
      <c r="I40" s="334">
        <f t="shared" si="1"/>
        <v>479480.77268866473</v>
      </c>
      <c r="J40" s="347"/>
      <c r="K40" s="398">
        <v>90.868449657060921</v>
      </c>
      <c r="L40" s="452">
        <v>208724.82886226894</v>
      </c>
      <c r="M40" s="347"/>
      <c r="N40" s="194">
        <v>318.83324786564356</v>
      </c>
      <c r="O40" s="334">
        <f t="shared" si="2"/>
        <v>688205.60155093367</v>
      </c>
      <c r="P40" s="324">
        <f t="shared" si="3"/>
        <v>688205.60155093367</v>
      </c>
      <c r="Q40" s="315">
        <f t="shared" si="4"/>
        <v>0.51558496612535154</v>
      </c>
      <c r="R40" s="315">
        <f t="shared" si="5"/>
        <v>0.19866008067191532</v>
      </c>
      <c r="S40" s="455">
        <f t="shared" si="6"/>
        <v>2.8960177760542906E-3</v>
      </c>
      <c r="T40" s="318"/>
      <c r="U40" s="318"/>
      <c r="V40" s="318"/>
      <c r="W40" s="317">
        <v>1</v>
      </c>
      <c r="X40" s="315">
        <f t="shared" si="7"/>
        <v>0.38207312136265031</v>
      </c>
      <c r="Y40" s="315">
        <f t="shared" si="8"/>
        <v>0.13162012900475592</v>
      </c>
      <c r="Z40" s="318">
        <f t="shared" si="9"/>
        <v>2.9132344293102603E-3</v>
      </c>
    </row>
    <row r="41" spans="1:29" s="3" customFormat="1">
      <c r="A41" s="8">
        <v>1</v>
      </c>
      <c r="B41" s="54" t="s">
        <v>83</v>
      </c>
      <c r="C41" s="1" t="s">
        <v>459</v>
      </c>
      <c r="D41" s="1" t="s">
        <v>550</v>
      </c>
      <c r="E41" s="1"/>
      <c r="F41" s="294">
        <v>164</v>
      </c>
      <c r="G41" s="192">
        <f t="shared" si="0"/>
        <v>164</v>
      </c>
      <c r="H41" s="194">
        <v>310.09047698075614</v>
      </c>
      <c r="I41" s="334">
        <f t="shared" si="1"/>
        <v>50854.838224844003</v>
      </c>
      <c r="J41" s="347"/>
      <c r="K41" s="398">
        <v>12.264956329279965</v>
      </c>
      <c r="L41" s="452">
        <v>2011.4528380019142</v>
      </c>
      <c r="M41" s="347"/>
      <c r="N41" s="194">
        <f>O41/F41</f>
        <v>322.35543331003606</v>
      </c>
      <c r="O41" s="334">
        <f t="shared" si="2"/>
        <v>52866.291062845914</v>
      </c>
      <c r="P41" s="324">
        <f t="shared" si="3"/>
        <v>52866.291062845914</v>
      </c>
      <c r="Q41" s="315">
        <f t="shared" si="4"/>
        <v>0.51591148469056758</v>
      </c>
      <c r="R41" s="315">
        <f t="shared" si="5"/>
        <v>0.19896542560837008</v>
      </c>
      <c r="S41" s="455">
        <f t="shared" si="6"/>
        <v>2.0697063134191026E-4</v>
      </c>
      <c r="T41" s="318"/>
      <c r="U41" s="318"/>
      <c r="V41" s="318"/>
      <c r="W41" s="317">
        <v>1</v>
      </c>
      <c r="X41" s="315">
        <f t="shared" si="7"/>
        <v>0.3824896332041744</v>
      </c>
      <c r="Y41" s="315">
        <f t="shared" si="8"/>
        <v>0.13195101904296838</v>
      </c>
      <c r="Z41" s="318">
        <f t="shared" si="9"/>
        <v>2.0866893661937824E-4</v>
      </c>
    </row>
    <row r="42" spans="1:29" s="3" customFormat="1">
      <c r="A42" s="8">
        <v>3</v>
      </c>
      <c r="B42" s="54" t="s">
        <v>82</v>
      </c>
      <c r="C42" s="1" t="s">
        <v>554</v>
      </c>
      <c r="D42" s="1" t="s">
        <v>555</v>
      </c>
      <c r="E42" s="1"/>
      <c r="F42" s="294">
        <v>4819</v>
      </c>
      <c r="G42" s="192">
        <f t="shared" ref="G42:G73" si="10">F42*W42</f>
        <v>4819</v>
      </c>
      <c r="H42" s="194">
        <v>282.63217356929243</v>
      </c>
      <c r="I42" s="334">
        <f t="shared" ref="I42:I73" si="11">F42*H42</f>
        <v>1362004.4444304202</v>
      </c>
      <c r="J42" s="347"/>
      <c r="K42" s="398">
        <v>38.896449405717114</v>
      </c>
      <c r="L42" s="452">
        <v>187441.98968615077</v>
      </c>
      <c r="M42" s="347"/>
      <c r="N42" s="194">
        <v>330.34281035066289</v>
      </c>
      <c r="O42" s="334">
        <f t="shared" ref="O42:O73" si="12">I42+L42</f>
        <v>1549446.434116571</v>
      </c>
      <c r="P42" s="324">
        <f t="shared" ref="P42:P73" si="13">O42*W42</f>
        <v>1549446.434116571</v>
      </c>
      <c r="Q42" s="315">
        <f t="shared" si="4"/>
        <v>0.52550595399408018</v>
      </c>
      <c r="R42" s="315">
        <f t="shared" si="5"/>
        <v>0.20791471282814039</v>
      </c>
      <c r="S42" s="455">
        <f t="shared" si="6"/>
        <v>6.0880486491645099E-3</v>
      </c>
      <c r="T42" s="318"/>
      <c r="U42" s="318"/>
      <c r="V42" s="318"/>
      <c r="W42" s="317">
        <v>1</v>
      </c>
      <c r="X42" s="315">
        <f t="shared" si="7"/>
        <v>0.394728478108471</v>
      </c>
      <c r="Y42" s="315">
        <f t="shared" si="8"/>
        <v>0.1416490020012113</v>
      </c>
      <c r="Z42" s="318">
        <f t="shared" si="9"/>
        <v>6.1637036977938006E-3</v>
      </c>
    </row>
    <row r="43" spans="1:29" s="3" customFormat="1">
      <c r="A43" s="8">
        <v>1</v>
      </c>
      <c r="B43" s="54" t="s">
        <v>82</v>
      </c>
      <c r="C43" s="1" t="s">
        <v>459</v>
      </c>
      <c r="D43" s="1" t="s">
        <v>550</v>
      </c>
      <c r="E43" s="1"/>
      <c r="F43" s="294">
        <v>2559</v>
      </c>
      <c r="G43" s="192">
        <f t="shared" si="10"/>
        <v>2559</v>
      </c>
      <c r="H43" s="194">
        <v>307.99687184214349</v>
      </c>
      <c r="I43" s="334">
        <f t="shared" si="11"/>
        <v>788163.99504404515</v>
      </c>
      <c r="J43" s="347"/>
      <c r="K43" s="398">
        <v>25.2159645257811</v>
      </c>
      <c r="L43" s="452">
        <v>64527.653221473833</v>
      </c>
      <c r="M43" s="347"/>
      <c r="N43" s="194">
        <f>O43/F43</f>
        <v>333.21283636792458</v>
      </c>
      <c r="O43" s="334">
        <f t="shared" si="12"/>
        <v>852691.64826551895</v>
      </c>
      <c r="P43" s="324">
        <f t="shared" si="13"/>
        <v>852691.64826551895</v>
      </c>
      <c r="Q43" s="315">
        <f t="shared" si="4"/>
        <v>0.530600838191567</v>
      </c>
      <c r="R43" s="315">
        <f t="shared" si="5"/>
        <v>0.21283968622651306</v>
      </c>
      <c r="S43" s="455">
        <f t="shared" si="6"/>
        <v>3.2370468675985372E-3</v>
      </c>
      <c r="T43" s="318"/>
      <c r="U43" s="318"/>
      <c r="V43" s="318"/>
      <c r="W43" s="317">
        <v>1</v>
      </c>
      <c r="X43" s="315">
        <f t="shared" si="7"/>
        <v>0.40122758666005742</v>
      </c>
      <c r="Y43" s="315">
        <f t="shared" si="8"/>
        <v>0.14698599777688645</v>
      </c>
      <c r="Z43" s="318">
        <f t="shared" si="9"/>
        <v>3.2971346718792369E-3</v>
      </c>
      <c r="AB43" s="50">
        <f>(0.4-X42)/(X43-X42)</f>
        <v>0.81111460897852694</v>
      </c>
      <c r="AC43" s="50">
        <f>100*(Y42+(AB43*(Y43-Y42)))</f>
        <v>14.59779172429181</v>
      </c>
    </row>
    <row r="44" spans="1:29" s="3" customFormat="1">
      <c r="A44" s="8">
        <v>2</v>
      </c>
      <c r="B44" s="54" t="s">
        <v>82</v>
      </c>
      <c r="C44" s="1" t="s">
        <v>565</v>
      </c>
      <c r="D44" s="1" t="s">
        <v>483</v>
      </c>
      <c r="E44" s="1"/>
      <c r="F44" s="334">
        <v>10381.402867192013</v>
      </c>
      <c r="G44" s="192">
        <f t="shared" si="10"/>
        <v>10381.402867192013</v>
      </c>
      <c r="H44" s="194">
        <v>272.30256049852687</v>
      </c>
      <c r="I44" s="334">
        <f t="shared" si="11"/>
        <v>2826882.5823031333</v>
      </c>
      <c r="J44" s="347"/>
      <c r="K44" s="398">
        <v>50.560093280826621</v>
      </c>
      <c r="L44" s="452">
        <v>524884.69735106907</v>
      </c>
      <c r="M44" s="347"/>
      <c r="N44" s="194">
        <v>340.47696152610013</v>
      </c>
      <c r="O44" s="334">
        <f t="shared" si="12"/>
        <v>3351767.2796542025</v>
      </c>
      <c r="P44" s="324">
        <f t="shared" si="13"/>
        <v>3351767.2796542025</v>
      </c>
      <c r="Q44" s="315">
        <f t="shared" si="4"/>
        <v>0.55126986727159843</v>
      </c>
      <c r="R44" s="315">
        <f t="shared" si="5"/>
        <v>0.23219881179483648</v>
      </c>
      <c r="S44" s="455">
        <f t="shared" si="6"/>
        <v>1.3162703414715501E-2</v>
      </c>
      <c r="T44" s="318"/>
      <c r="U44" s="318"/>
      <c r="V44" s="318"/>
      <c r="W44" s="317">
        <v>1</v>
      </c>
      <c r="X44" s="315">
        <f t="shared" si="7"/>
        <v>0.42759330145162894</v>
      </c>
      <c r="Y44" s="315">
        <f t="shared" si="8"/>
        <v>0.16796470426351368</v>
      </c>
      <c r="Z44" s="318">
        <f t="shared" si="9"/>
        <v>1.3548554765847317E-2</v>
      </c>
      <c r="AB44"/>
      <c r="AC44" s="50">
        <f>100-AC43</f>
        <v>85.40220827570819</v>
      </c>
    </row>
    <row r="45" spans="1:29" s="3" customFormat="1">
      <c r="A45" s="8">
        <v>2</v>
      </c>
      <c r="B45" s="54" t="s">
        <v>134</v>
      </c>
      <c r="C45" s="1" t="s">
        <v>459</v>
      </c>
      <c r="D45" s="1" t="s">
        <v>550</v>
      </c>
      <c r="E45" s="1"/>
      <c r="F45" s="294">
        <v>860</v>
      </c>
      <c r="G45" s="192">
        <f t="shared" si="10"/>
        <v>860</v>
      </c>
      <c r="H45" s="194">
        <v>318.9130542745657</v>
      </c>
      <c r="I45" s="334">
        <f t="shared" si="11"/>
        <v>274265.22667612648</v>
      </c>
      <c r="J45" s="347"/>
      <c r="K45" s="398">
        <v>39.74842313346749</v>
      </c>
      <c r="L45" s="452">
        <v>34183.643894782042</v>
      </c>
      <c r="M45" s="347"/>
      <c r="N45" s="194">
        <v>364.19608273029604</v>
      </c>
      <c r="O45" s="334">
        <f t="shared" si="12"/>
        <v>308448.87057090853</v>
      </c>
      <c r="P45" s="324">
        <f t="shared" si="13"/>
        <v>308448.87057090853</v>
      </c>
      <c r="Q45" s="315">
        <f t="shared" si="4"/>
        <v>0.55298209877212157</v>
      </c>
      <c r="R45" s="315">
        <f t="shared" si="5"/>
        <v>0.23398034968770767</v>
      </c>
      <c r="S45" s="455">
        <f t="shared" si="6"/>
        <v>1.092528355596785E-3</v>
      </c>
      <c r="T45" s="318"/>
      <c r="U45" s="318"/>
      <c r="V45" s="318"/>
      <c r="W45" s="317">
        <v>1</v>
      </c>
      <c r="X45" s="315">
        <f t="shared" si="7"/>
        <v>0.42977744891327974</v>
      </c>
      <c r="Y45" s="315">
        <f t="shared" si="8"/>
        <v>0.16989528529195141</v>
      </c>
      <c r="Z45" s="318">
        <f t="shared" si="9"/>
        <v>1.1346881095222212E-3</v>
      </c>
      <c r="AB45" s="50">
        <f>(SUM(O$10:O42)+((1-AB43)*O42))/(SUM(G$10:G42)+(AB43*G43))</f>
        <v>230.4164516839721</v>
      </c>
      <c r="AC45" s="50"/>
    </row>
    <row r="46" spans="1:29" s="3" customFormat="1">
      <c r="A46" s="8">
        <v>1</v>
      </c>
      <c r="B46" s="54" t="s">
        <v>82</v>
      </c>
      <c r="C46" s="1" t="s">
        <v>634</v>
      </c>
      <c r="D46" s="1" t="s">
        <v>260</v>
      </c>
      <c r="E46" s="1"/>
      <c r="F46" s="294">
        <v>22647.826226456313</v>
      </c>
      <c r="G46" s="192">
        <f t="shared" si="10"/>
        <v>22647.826226456313</v>
      </c>
      <c r="H46" s="194">
        <v>356.43887176112037</v>
      </c>
      <c r="I46" s="334">
        <f t="shared" si="11"/>
        <v>8072565.6280000005</v>
      </c>
      <c r="J46" s="347"/>
      <c r="K46" s="398">
        <v>14.097666885478191</v>
      </c>
      <c r="L46" s="452">
        <v>319281.50982077763</v>
      </c>
      <c r="M46" s="347"/>
      <c r="N46" s="194">
        <f>O46/F46</f>
        <v>370.53653864659856</v>
      </c>
      <c r="O46" s="334">
        <f t="shared" si="12"/>
        <v>8391847.1378207784</v>
      </c>
      <c r="P46" s="324">
        <f t="shared" si="13"/>
        <v>8391847.1378207784</v>
      </c>
      <c r="Q46" s="315">
        <f t="shared" si="4"/>
        <v>0.59807317026434459</v>
      </c>
      <c r="R46" s="315">
        <f t="shared" si="5"/>
        <v>0.28244995062850109</v>
      </c>
      <c r="S46" s="455">
        <f t="shared" si="6"/>
        <v>2.8615919835314928E-2</v>
      </c>
      <c r="T46" s="318"/>
      <c r="U46" s="318"/>
      <c r="V46" s="318"/>
      <c r="W46" s="317">
        <v>1</v>
      </c>
      <c r="X46" s="315">
        <f t="shared" si="7"/>
        <v>0.48729627701144534</v>
      </c>
      <c r="Y46" s="315">
        <f t="shared" si="8"/>
        <v>0.22241984421751848</v>
      </c>
      <c r="Z46" s="318">
        <f t="shared" si="9"/>
        <v>3.0183499500243724E-2</v>
      </c>
    </row>
    <row r="47" spans="1:29" s="3" customFormat="1">
      <c r="A47" s="8">
        <v>1</v>
      </c>
      <c r="B47" s="54" t="s">
        <v>82</v>
      </c>
      <c r="C47" s="1" t="s">
        <v>554</v>
      </c>
      <c r="D47" s="1" t="s">
        <v>555</v>
      </c>
      <c r="E47" s="1"/>
      <c r="F47" s="294">
        <v>6524</v>
      </c>
      <c r="G47" s="192">
        <f t="shared" si="10"/>
        <v>6524</v>
      </c>
      <c r="H47" s="194">
        <v>336.96487184214345</v>
      </c>
      <c r="I47" s="334">
        <f t="shared" si="11"/>
        <v>2198358.8238981441</v>
      </c>
      <c r="J47" s="347"/>
      <c r="K47" s="398">
        <v>39.794560065989508</v>
      </c>
      <c r="L47" s="452">
        <v>259619.70987051554</v>
      </c>
      <c r="M47" s="347"/>
      <c r="N47" s="194">
        <f>O47/F47</f>
        <v>376.75943190813297</v>
      </c>
      <c r="O47" s="334">
        <f t="shared" si="12"/>
        <v>2457978.5337686595</v>
      </c>
      <c r="P47" s="324">
        <f t="shared" si="13"/>
        <v>2457978.5337686595</v>
      </c>
      <c r="Q47" s="315">
        <f t="shared" si="4"/>
        <v>0.61106223806598725</v>
      </c>
      <c r="R47" s="315">
        <f t="shared" si="5"/>
        <v>0.29664673432775007</v>
      </c>
      <c r="S47" s="455">
        <f t="shared" si="6"/>
        <v>8.1836156955663181E-3</v>
      </c>
      <c r="T47" s="318"/>
      <c r="U47" s="318"/>
      <c r="V47" s="318"/>
      <c r="W47" s="317">
        <v>1</v>
      </c>
      <c r="X47" s="315">
        <f t="shared" si="7"/>
        <v>0.50386532124378214</v>
      </c>
      <c r="Y47" s="315">
        <f t="shared" si="8"/>
        <v>0.2378043282547524</v>
      </c>
      <c r="Z47" s="318">
        <f t="shared" si="9"/>
        <v>8.7971256924008426E-3</v>
      </c>
    </row>
    <row r="48" spans="1:29" s="3" customFormat="1">
      <c r="A48" s="8">
        <v>1</v>
      </c>
      <c r="B48" s="54" t="s">
        <v>83</v>
      </c>
      <c r="C48" s="1" t="s">
        <v>566</v>
      </c>
      <c r="D48" s="1" t="s">
        <v>579</v>
      </c>
      <c r="E48" s="1"/>
      <c r="F48" s="294">
        <v>8.0144387200686378</v>
      </c>
      <c r="G48" s="192">
        <f t="shared" si="10"/>
        <v>8.0144387200686378</v>
      </c>
      <c r="H48" s="194">
        <v>355.09402585293662</v>
      </c>
      <c r="I48" s="334">
        <f t="shared" si="11"/>
        <v>2845.8793100608291</v>
      </c>
      <c r="J48" s="347"/>
      <c r="K48" s="398">
        <v>26.873229935943062</v>
      </c>
      <c r="L48" s="452">
        <v>215.37385453192971</v>
      </c>
      <c r="M48" s="347"/>
      <c r="N48" s="194">
        <f>O48/F48</f>
        <v>381.9672557888797</v>
      </c>
      <c r="O48" s="334">
        <f t="shared" si="12"/>
        <v>3061.2531645927588</v>
      </c>
      <c r="P48" s="324">
        <f t="shared" si="13"/>
        <v>3061.2531645927588</v>
      </c>
      <c r="Q48" s="315">
        <f t="shared" si="4"/>
        <v>0.61107819454788903</v>
      </c>
      <c r="R48" s="315">
        <f t="shared" si="5"/>
        <v>0.29666441550292277</v>
      </c>
      <c r="S48" s="455">
        <f t="shared" si="6"/>
        <v>1.0033903070039417E-5</v>
      </c>
      <c r="T48" s="318"/>
      <c r="U48" s="318"/>
      <c r="V48" s="318"/>
      <c r="W48" s="317">
        <v>1</v>
      </c>
      <c r="X48" s="315">
        <f t="shared" si="7"/>
        <v>0.50388567556469721</v>
      </c>
      <c r="Y48" s="315">
        <f t="shared" si="8"/>
        <v>0.237823488633819</v>
      </c>
      <c r="Z48" s="318">
        <f t="shared" si="9"/>
        <v>1.083100597043867E-5</v>
      </c>
    </row>
    <row r="49" spans="1:26" s="3" customFormat="1">
      <c r="A49" s="8">
        <v>3</v>
      </c>
      <c r="B49" s="54" t="s">
        <v>136</v>
      </c>
      <c r="C49" s="1" t="s">
        <v>666</v>
      </c>
      <c r="D49" s="1" t="s">
        <v>578</v>
      </c>
      <c r="E49" s="1"/>
      <c r="F49" s="294">
        <v>193.24887502438833</v>
      </c>
      <c r="G49" s="192">
        <f t="shared" si="10"/>
        <v>193.24887502438833</v>
      </c>
      <c r="H49" s="194">
        <v>179.68</v>
      </c>
      <c r="I49" s="334">
        <f t="shared" si="11"/>
        <v>34722.957864382093</v>
      </c>
      <c r="J49" s="347"/>
      <c r="K49" s="398">
        <v>204.19281760000001</v>
      </c>
      <c r="L49" s="452">
        <v>39460.032289260125</v>
      </c>
      <c r="M49" s="347"/>
      <c r="N49" s="194">
        <v>384.05677509333333</v>
      </c>
      <c r="O49" s="334">
        <f t="shared" si="12"/>
        <v>74182.990153642226</v>
      </c>
      <c r="P49" s="324">
        <f t="shared" si="13"/>
        <v>74182.990153642226</v>
      </c>
      <c r="Q49" s="315">
        <f t="shared" si="4"/>
        <v>0.61146294665400225</v>
      </c>
      <c r="R49" s="315">
        <f t="shared" si="5"/>
        <v>0.29709288135439627</v>
      </c>
      <c r="S49" s="455">
        <f t="shared" si="6"/>
        <v>2.4192590840153971E-4</v>
      </c>
      <c r="T49" s="318"/>
      <c r="U49" s="318"/>
      <c r="V49" s="318"/>
      <c r="W49" s="317">
        <v>1</v>
      </c>
      <c r="X49" s="315">
        <f t="shared" si="7"/>
        <v>0.50437647095987326</v>
      </c>
      <c r="Y49" s="315">
        <f t="shared" si="8"/>
        <v>0.23828779986037116</v>
      </c>
      <c r="Z49" s="318">
        <f t="shared" si="9"/>
        <v>2.6117719066029292E-4</v>
      </c>
    </row>
    <row r="50" spans="1:26" s="3" customFormat="1">
      <c r="A50" s="8">
        <v>2</v>
      </c>
      <c r="B50" s="54" t="s">
        <v>134</v>
      </c>
      <c r="C50" s="1" t="s">
        <v>566</v>
      </c>
      <c r="D50" s="1" t="s">
        <v>579</v>
      </c>
      <c r="E50" s="1"/>
      <c r="F50" s="294">
        <v>254.68015419186904</v>
      </c>
      <c r="G50" s="192">
        <f t="shared" si="10"/>
        <v>254.68015419186904</v>
      </c>
      <c r="H50" s="194">
        <v>366.64021629799782</v>
      </c>
      <c r="I50" s="334">
        <f t="shared" si="11"/>
        <v>93375.986819714308</v>
      </c>
      <c r="J50" s="347"/>
      <c r="K50" s="398">
        <v>22.614155001121127</v>
      </c>
      <c r="L50" s="452">
        <v>5759.3764826043544</v>
      </c>
      <c r="M50" s="347"/>
      <c r="N50" s="194">
        <v>389.25437129911893</v>
      </c>
      <c r="O50" s="334">
        <f t="shared" si="12"/>
        <v>99135.363302318656</v>
      </c>
      <c r="P50" s="324">
        <f t="shared" si="13"/>
        <v>99135.363302318656</v>
      </c>
      <c r="Q50" s="315">
        <f t="shared" si="4"/>
        <v>0.61197000640117127</v>
      </c>
      <c r="R50" s="315">
        <f t="shared" si="5"/>
        <v>0.29766546703421976</v>
      </c>
      <c r="S50" s="455">
        <f t="shared" si="6"/>
        <v>3.1877558609381154E-4</v>
      </c>
      <c r="T50" s="318"/>
      <c r="U50" s="318"/>
      <c r="V50" s="318"/>
      <c r="W50" s="317">
        <v>1</v>
      </c>
      <c r="X50" s="315">
        <f t="shared" si="7"/>
        <v>0.50502328376488603</v>
      </c>
      <c r="Y50" s="315">
        <f t="shared" si="8"/>
        <v>0.23890828795385807</v>
      </c>
      <c r="Z50" s="318">
        <f t="shared" si="9"/>
        <v>3.4423614663248463E-4</v>
      </c>
    </row>
    <row r="51" spans="1:26" s="3" customFormat="1">
      <c r="A51" s="8">
        <v>3</v>
      </c>
      <c r="B51" s="54" t="s">
        <v>82</v>
      </c>
      <c r="C51" s="1" t="s">
        <v>565</v>
      </c>
      <c r="D51" s="1" t="s">
        <v>483</v>
      </c>
      <c r="E51" s="1"/>
      <c r="F51" s="294">
        <v>2953.5588889558767</v>
      </c>
      <c r="G51" s="192">
        <f t="shared" si="10"/>
        <v>2953.5588889558767</v>
      </c>
      <c r="H51" s="194">
        <v>344.71217356929247</v>
      </c>
      <c r="I51" s="334">
        <f t="shared" si="11"/>
        <v>1018127.7043768849</v>
      </c>
      <c r="J51" s="347"/>
      <c r="K51" s="398">
        <v>38.896449405717114</v>
      </c>
      <c r="L51" s="452">
        <v>114882.9538910783</v>
      </c>
      <c r="M51" s="347"/>
      <c r="N51" s="194">
        <v>392.42281035066287</v>
      </c>
      <c r="O51" s="334">
        <f t="shared" si="12"/>
        <v>1133010.6582679632</v>
      </c>
      <c r="P51" s="324">
        <f t="shared" si="13"/>
        <v>1133010.6582679632</v>
      </c>
      <c r="Q51" s="315">
        <f t="shared" si="4"/>
        <v>0.61785044427131108</v>
      </c>
      <c r="R51" s="315">
        <f t="shared" si="5"/>
        <v>0.30420950597654189</v>
      </c>
      <c r="S51" s="455">
        <f t="shared" si="6"/>
        <v>3.6925943672250139E-3</v>
      </c>
      <c r="T51" s="318"/>
      <c r="U51" s="318"/>
      <c r="V51" s="318"/>
      <c r="W51" s="317">
        <v>1</v>
      </c>
      <c r="X51" s="315">
        <f t="shared" si="7"/>
        <v>0.51252445603250119</v>
      </c>
      <c r="Y51" s="315">
        <f t="shared" si="8"/>
        <v>0.2459998000019368</v>
      </c>
      <c r="Z51" s="318">
        <f t="shared" si="9"/>
        <v>3.9954217850263424E-3</v>
      </c>
    </row>
    <row r="52" spans="1:26" s="3" customFormat="1">
      <c r="A52" s="8">
        <v>1</v>
      </c>
      <c r="B52" s="54" t="s">
        <v>83</v>
      </c>
      <c r="C52" s="1" t="s">
        <v>554</v>
      </c>
      <c r="D52" s="1" t="s">
        <v>555</v>
      </c>
      <c r="E52" s="1"/>
      <c r="F52" s="294">
        <v>273</v>
      </c>
      <c r="G52" s="192">
        <f t="shared" si="10"/>
        <v>273</v>
      </c>
      <c r="H52" s="194">
        <v>360.1614293617086</v>
      </c>
      <c r="I52" s="334">
        <f t="shared" si="11"/>
        <v>98324.070215746455</v>
      </c>
      <c r="J52" s="347"/>
      <c r="K52" s="398">
        <v>43.028828716563922</v>
      </c>
      <c r="L52" s="452">
        <v>11746.870239621951</v>
      </c>
      <c r="M52" s="347"/>
      <c r="N52" s="194">
        <f>O52/F52</f>
        <v>403.19025807827251</v>
      </c>
      <c r="O52" s="334">
        <f t="shared" si="12"/>
        <v>110070.9404553684</v>
      </c>
      <c r="P52" s="324">
        <f t="shared" si="13"/>
        <v>110070.9404553684</v>
      </c>
      <c r="Q52" s="315">
        <f t="shared" si="4"/>
        <v>0.61839397822438413</v>
      </c>
      <c r="R52" s="315">
        <f t="shared" si="5"/>
        <v>0.30484525332410795</v>
      </c>
      <c r="S52" s="455">
        <f t="shared" si="6"/>
        <v>3.4089887696295772E-4</v>
      </c>
      <c r="T52" s="318"/>
      <c r="U52" s="318"/>
      <c r="V52" s="318"/>
      <c r="W52" s="317">
        <v>1</v>
      </c>
      <c r="X52" s="315">
        <f t="shared" si="7"/>
        <v>0.51321779586625782</v>
      </c>
      <c r="Y52" s="315">
        <f t="shared" si="8"/>
        <v>0.24668873385678319</v>
      </c>
      <c r="Z52" s="318">
        <f t="shared" si="9"/>
        <v>3.6958737624923646E-4</v>
      </c>
    </row>
    <row r="53" spans="1:26" s="3" customFormat="1">
      <c r="A53" s="8">
        <v>1</v>
      </c>
      <c r="B53" s="54" t="s">
        <v>82</v>
      </c>
      <c r="C53" s="1" t="s">
        <v>633</v>
      </c>
      <c r="D53" s="1" t="s">
        <v>129</v>
      </c>
      <c r="E53" s="1"/>
      <c r="F53" s="294">
        <v>22647.826226456313</v>
      </c>
      <c r="G53" s="192">
        <f t="shared" si="10"/>
        <v>22647.826226456313</v>
      </c>
      <c r="H53" s="194">
        <v>356.43887176112037</v>
      </c>
      <c r="I53" s="334">
        <f t="shared" si="11"/>
        <v>8072565.6280000005</v>
      </c>
      <c r="J53" s="347"/>
      <c r="K53" s="398">
        <v>62.854405086563681</v>
      </c>
      <c r="L53" s="452">
        <v>1423515.6439677859</v>
      </c>
      <c r="M53" s="347"/>
      <c r="N53" s="194">
        <f>O53/F53</f>
        <v>419.29327684768407</v>
      </c>
      <c r="O53" s="334">
        <f t="shared" si="12"/>
        <v>9496081.2719677873</v>
      </c>
      <c r="P53" s="324">
        <f t="shared" si="13"/>
        <v>9496081.2719677873</v>
      </c>
      <c r="Q53" s="315">
        <f t="shared" si="4"/>
        <v>0.66348504971660716</v>
      </c>
      <c r="R53" s="315">
        <f t="shared" si="5"/>
        <v>0.35969268586124842</v>
      </c>
      <c r="S53" s="455">
        <f t="shared" si="6"/>
        <v>2.7836571168167134E-2</v>
      </c>
      <c r="T53" s="318"/>
      <c r="U53" s="318"/>
      <c r="V53" s="318"/>
      <c r="W53" s="317">
        <v>1</v>
      </c>
      <c r="X53" s="315">
        <f t="shared" si="7"/>
        <v>0.57073662396442337</v>
      </c>
      <c r="Y53" s="315">
        <f t="shared" si="8"/>
        <v>0.30612469260816844</v>
      </c>
      <c r="Z53" s="318">
        <f t="shared" si="9"/>
        <v>3.0550607493292293E-2</v>
      </c>
    </row>
    <row r="54" spans="1:26" s="3" customFormat="1">
      <c r="A54" s="8">
        <v>3</v>
      </c>
      <c r="B54" s="54" t="s">
        <v>136</v>
      </c>
      <c r="C54" s="1" t="s">
        <v>459</v>
      </c>
      <c r="D54" s="1" t="s">
        <v>550</v>
      </c>
      <c r="E54" s="1"/>
      <c r="F54" s="294">
        <v>138</v>
      </c>
      <c r="G54" s="192">
        <f t="shared" si="10"/>
        <v>138</v>
      </c>
      <c r="H54" s="194">
        <v>361.71299591041128</v>
      </c>
      <c r="I54" s="334">
        <f t="shared" si="11"/>
        <v>49916.393435636754</v>
      </c>
      <c r="J54" s="347"/>
      <c r="K54" s="398">
        <v>64.491532800000002</v>
      </c>
      <c r="L54" s="452">
        <v>8899.8315263999993</v>
      </c>
      <c r="M54" s="347"/>
      <c r="N54" s="194">
        <v>426.26262919041125</v>
      </c>
      <c r="O54" s="334">
        <f t="shared" si="12"/>
        <v>58816.224962036751</v>
      </c>
      <c r="P54" s="324">
        <f t="shared" si="13"/>
        <v>58816.224962036751</v>
      </c>
      <c r="Q54" s="315">
        <f t="shared" si="4"/>
        <v>0.6637598031434353</v>
      </c>
      <c r="R54" s="315">
        <f t="shared" si="5"/>
        <v>0.36003239640481943</v>
      </c>
      <c r="S54" s="455">
        <f t="shared" si="6"/>
        <v>1.6691813883654293E-4</v>
      </c>
      <c r="T54" s="318"/>
      <c r="U54" s="318"/>
      <c r="V54" s="318"/>
      <c r="W54" s="317">
        <v>1</v>
      </c>
      <c r="X54" s="315">
        <f t="shared" si="7"/>
        <v>0.5710871034408278</v>
      </c>
      <c r="Y54" s="315">
        <f t="shared" si="8"/>
        <v>0.30649282327392796</v>
      </c>
      <c r="Z54" s="318">
        <f t="shared" si="9"/>
        <v>1.8547591592460764E-4</v>
      </c>
    </row>
    <row r="55" spans="1:26" s="3" customFormat="1">
      <c r="A55" s="8">
        <v>1</v>
      </c>
      <c r="B55" s="54" t="s">
        <v>82</v>
      </c>
      <c r="C55" s="1" t="s">
        <v>565</v>
      </c>
      <c r="D55" s="1" t="s">
        <v>483</v>
      </c>
      <c r="E55" s="1"/>
      <c r="F55" s="334">
        <v>3640.4232384296024</v>
      </c>
      <c r="G55" s="192">
        <f t="shared" si="10"/>
        <v>3640.4232384296024</v>
      </c>
      <c r="H55" s="194">
        <v>388.37487184214348</v>
      </c>
      <c r="I55" s="334">
        <f t="shared" si="11"/>
        <v>1413848.9086762578</v>
      </c>
      <c r="J55" s="347"/>
      <c r="K55" s="398">
        <v>39.794560065989508</v>
      </c>
      <c r="L55" s="452">
        <v>144869.04122731087</v>
      </c>
      <c r="M55" s="347"/>
      <c r="N55" s="194">
        <f>O55/F55</f>
        <v>428.16943190813299</v>
      </c>
      <c r="O55" s="334">
        <f t="shared" si="12"/>
        <v>1558717.9499035687</v>
      </c>
      <c r="P55" s="324">
        <f t="shared" si="13"/>
        <v>1558717.9499035687</v>
      </c>
      <c r="Q55" s="315">
        <f t="shared" si="4"/>
        <v>0.67100776517143002</v>
      </c>
      <c r="R55" s="315">
        <f t="shared" si="5"/>
        <v>0.36903523401259508</v>
      </c>
      <c r="S55" s="455">
        <f t="shared" si="6"/>
        <v>4.3900901502394798E-3</v>
      </c>
      <c r="T55" s="318"/>
      <c r="U55" s="318"/>
      <c r="V55" s="318"/>
      <c r="W55" s="317">
        <v>1</v>
      </c>
      <c r="X55" s="315">
        <f t="shared" si="7"/>
        <v>0.5803327094589098</v>
      </c>
      <c r="Y55" s="315">
        <f t="shared" si="8"/>
        <v>0.31624883663588127</v>
      </c>
      <c r="Z55" s="318">
        <f t="shared" si="9"/>
        <v>4.8879499129121581E-3</v>
      </c>
    </row>
    <row r="56" spans="1:26" s="3" customFormat="1">
      <c r="A56" s="8">
        <v>3</v>
      </c>
      <c r="B56" s="54" t="s">
        <v>82</v>
      </c>
      <c r="C56" s="1" t="s">
        <v>634</v>
      </c>
      <c r="D56" s="1" t="s">
        <v>260</v>
      </c>
      <c r="E56" s="1"/>
      <c r="F56" s="294">
        <v>40503.003137927604</v>
      </c>
      <c r="G56" s="192">
        <f t="shared" si="10"/>
        <v>40503.003137927604</v>
      </c>
      <c r="H56" s="194">
        <v>403.90217358181422</v>
      </c>
      <c r="I56" s="334">
        <f t="shared" si="11"/>
        <v>16359251.004000001</v>
      </c>
      <c r="J56" s="347"/>
      <c r="K56" s="398">
        <v>22.960371636686205</v>
      </c>
      <c r="L56" s="452">
        <v>929964.00444868533</v>
      </c>
      <c r="M56" s="347"/>
      <c r="N56" s="194">
        <v>448.9177081964026</v>
      </c>
      <c r="O56" s="334">
        <f t="shared" si="12"/>
        <v>17289215.008448686</v>
      </c>
      <c r="P56" s="324">
        <f t="shared" si="13"/>
        <v>17289215.008448686</v>
      </c>
      <c r="Q56" s="315">
        <f t="shared" si="4"/>
        <v>0.75164790219299493</v>
      </c>
      <c r="R56" s="315">
        <f t="shared" si="5"/>
        <v>0.46889422075013221</v>
      </c>
      <c r="S56" s="455">
        <f t="shared" si="6"/>
        <v>4.7152401904301595E-2</v>
      </c>
      <c r="T56" s="318"/>
      <c r="U56" s="318"/>
      <c r="V56" s="318"/>
      <c r="W56" s="317">
        <v>1</v>
      </c>
      <c r="X56" s="315">
        <f t="shared" si="7"/>
        <v>0.68319844375302374</v>
      </c>
      <c r="Y56" s="315">
        <f t="shared" si="8"/>
        <v>0.42446200801210365</v>
      </c>
      <c r="Z56" s="318">
        <f t="shared" si="9"/>
        <v>5.3780294944305806E-2</v>
      </c>
    </row>
    <row r="57" spans="1:26" s="3" customFormat="1">
      <c r="A57" s="8">
        <v>2</v>
      </c>
      <c r="B57" s="54" t="s">
        <v>82</v>
      </c>
      <c r="C57" s="1" t="s">
        <v>584</v>
      </c>
      <c r="D57" s="1" t="s">
        <v>478</v>
      </c>
      <c r="E57" s="1"/>
      <c r="F57" s="294">
        <v>6350.08945843726</v>
      </c>
      <c r="G57" s="192">
        <f t="shared" si="10"/>
        <v>6350.08945843726</v>
      </c>
      <c r="H57" s="194">
        <v>252.00469689817132</v>
      </c>
      <c r="I57" s="334">
        <f t="shared" si="11"/>
        <v>1600252.3692497546</v>
      </c>
      <c r="J57" s="347"/>
      <c r="K57" s="398">
        <v>175.76116185987379</v>
      </c>
      <c r="L57" s="452">
        <v>1116099.1011290697</v>
      </c>
      <c r="M57" s="347"/>
      <c r="N57" s="194">
        <v>458.23119942653</v>
      </c>
      <c r="O57" s="334">
        <f t="shared" si="12"/>
        <v>2716351.4703788245</v>
      </c>
      <c r="P57" s="324">
        <f t="shared" si="13"/>
        <v>2716351.4703788245</v>
      </c>
      <c r="Q57" s="315">
        <f t="shared" si="4"/>
        <v>0.76429071986959496</v>
      </c>
      <c r="R57" s="315">
        <f t="shared" si="5"/>
        <v>0.48458331394045323</v>
      </c>
      <c r="S57" s="455">
        <f t="shared" si="6"/>
        <v>7.1110929778264503E-3</v>
      </c>
      <c r="T57" s="318"/>
      <c r="U57" s="318"/>
      <c r="V57" s="318"/>
      <c r="W57" s="317">
        <v>1</v>
      </c>
      <c r="X57" s="315">
        <f t="shared" si="7"/>
        <v>0.69932580627849017</v>
      </c>
      <c r="Y57" s="315">
        <f t="shared" si="8"/>
        <v>0.44146364788057169</v>
      </c>
      <c r="Z57" s="318">
        <f t="shared" si="9"/>
        <v>8.3313728078233448E-3</v>
      </c>
    </row>
    <row r="58" spans="1:26" s="3" customFormat="1">
      <c r="A58" s="8">
        <v>1</v>
      </c>
      <c r="B58" s="54" t="s">
        <v>83</v>
      </c>
      <c r="C58" s="1" t="s">
        <v>565</v>
      </c>
      <c r="D58" s="1" t="s">
        <v>483</v>
      </c>
      <c r="E58" s="1"/>
      <c r="F58" s="294">
        <v>197.82570688946015</v>
      </c>
      <c r="G58" s="192">
        <f t="shared" si="10"/>
        <v>197.82570688946015</v>
      </c>
      <c r="H58" s="194">
        <v>425.10254047281961</v>
      </c>
      <c r="I58" s="334">
        <f t="shared" si="11"/>
        <v>84096.210569540883</v>
      </c>
      <c r="J58" s="347"/>
      <c r="K58" s="398">
        <v>43.028828716563922</v>
      </c>
      <c r="L58" s="452">
        <v>8512.2084574797609</v>
      </c>
      <c r="M58" s="347"/>
      <c r="N58" s="194">
        <f>O58/F58</f>
        <v>468.13136918938352</v>
      </c>
      <c r="O58" s="334">
        <f t="shared" si="12"/>
        <v>92608.419027020645</v>
      </c>
      <c r="P58" s="324">
        <f t="shared" si="13"/>
        <v>92608.419027020645</v>
      </c>
      <c r="Q58" s="315">
        <f t="shared" si="4"/>
        <v>0.76468458429628028</v>
      </c>
      <c r="R58" s="315">
        <f t="shared" si="5"/>
        <v>0.48511820131867628</v>
      </c>
      <c r="S58" s="455">
        <f t="shared" si="6"/>
        <v>2.2027805022788199E-4</v>
      </c>
      <c r="T58" s="318"/>
      <c r="U58" s="318"/>
      <c r="V58" s="318"/>
      <c r="W58" s="317">
        <v>1</v>
      </c>
      <c r="X58" s="315">
        <f t="shared" si="7"/>
        <v>0.69982822548262025</v>
      </c>
      <c r="Y58" s="315">
        <f t="shared" si="8"/>
        <v>0.44204328383941394</v>
      </c>
      <c r="Z58" s="318">
        <f t="shared" si="9"/>
        <v>2.5907100561464459E-4</v>
      </c>
    </row>
    <row r="59" spans="1:26" s="3" customFormat="1">
      <c r="A59" s="8">
        <v>1</v>
      </c>
      <c r="B59" s="54" t="s">
        <v>82</v>
      </c>
      <c r="C59" s="1" t="s">
        <v>612</v>
      </c>
      <c r="D59" s="1" t="s">
        <v>130</v>
      </c>
      <c r="E59" s="1"/>
      <c r="F59" s="334">
        <v>10191.521801905341</v>
      </c>
      <c r="G59" s="192">
        <f t="shared" si="10"/>
        <v>10191.521801905341</v>
      </c>
      <c r="H59" s="194">
        <v>356.43887176112037</v>
      </c>
      <c r="I59" s="334">
        <f t="shared" si="11"/>
        <v>3632654.5326</v>
      </c>
      <c r="J59" s="347"/>
      <c r="K59" s="398">
        <v>129.82143694461701</v>
      </c>
      <c r="L59" s="452">
        <v>1323078.0049757436</v>
      </c>
      <c r="M59" s="347"/>
      <c r="N59" s="194">
        <f>O59/F59</f>
        <v>486.26030870573737</v>
      </c>
      <c r="O59" s="334">
        <f t="shared" si="12"/>
        <v>4955732.5375757441</v>
      </c>
      <c r="P59" s="324">
        <f t="shared" si="13"/>
        <v>4955732.5375757441</v>
      </c>
      <c r="Q59" s="315">
        <f t="shared" si="4"/>
        <v>0.78497556646778066</v>
      </c>
      <c r="R59" s="315">
        <f t="shared" si="5"/>
        <v>0.51374150373597682</v>
      </c>
      <c r="S59" s="455">
        <f t="shared" si="6"/>
        <v>1.1176282023944058E-2</v>
      </c>
      <c r="T59" s="318"/>
      <c r="U59" s="318"/>
      <c r="V59" s="318"/>
      <c r="W59" s="317">
        <v>1</v>
      </c>
      <c r="X59" s="315">
        <f t="shared" si="7"/>
        <v>0.72571169812679481</v>
      </c>
      <c r="Y59" s="315">
        <f t="shared" si="8"/>
        <v>0.47306120652250538</v>
      </c>
      <c r="Z59" s="318">
        <f t="shared" si="9"/>
        <v>1.3211841573078949E-2</v>
      </c>
    </row>
    <row r="60" spans="1:26" s="3" customFormat="1">
      <c r="A60" s="8">
        <v>2</v>
      </c>
      <c r="B60" s="54" t="s">
        <v>82</v>
      </c>
      <c r="C60" s="1" t="s">
        <v>633</v>
      </c>
      <c r="D60" s="1" t="s">
        <v>129</v>
      </c>
      <c r="E60" s="1"/>
      <c r="F60" s="294">
        <v>8522.9731000000011</v>
      </c>
      <c r="G60" s="192">
        <f t="shared" si="10"/>
        <v>8522.9731000000011</v>
      </c>
      <c r="H60" s="194">
        <v>198.99997394101834</v>
      </c>
      <c r="I60" s="334">
        <f t="shared" si="11"/>
        <v>1696071.4248000006</v>
      </c>
      <c r="J60" s="347"/>
      <c r="K60" s="398">
        <v>96.410465740107426</v>
      </c>
      <c r="L60" s="452">
        <v>821703.80606140732</v>
      </c>
      <c r="M60" s="347"/>
      <c r="N60" s="194">
        <v>501.61438416993877</v>
      </c>
      <c r="O60" s="334">
        <f t="shared" si="12"/>
        <v>2517775.2308614077</v>
      </c>
      <c r="P60" s="324">
        <f t="shared" si="13"/>
        <v>2517775.2308614077</v>
      </c>
      <c r="Q60" s="315">
        <f t="shared" si="4"/>
        <v>0.80194452346770051</v>
      </c>
      <c r="R60" s="315">
        <f t="shared" si="5"/>
        <v>0.52828366098625257</v>
      </c>
      <c r="S60" s="455">
        <f t="shared" si="6"/>
        <v>9.2462985554182097E-3</v>
      </c>
      <c r="T60" s="318"/>
      <c r="U60" s="50">
        <f>(0.8-Q59)/(Q60-Q59)</f>
        <v>0.88540701307041736</v>
      </c>
      <c r="V60" s="50">
        <f>100*(R59+(U60*(R60-R59)))</f>
        <v>52.661723175054377</v>
      </c>
      <c r="W60" s="317">
        <v>1</v>
      </c>
      <c r="X60" s="315">
        <f t="shared" si="7"/>
        <v>0.7473575470361935</v>
      </c>
      <c r="Y60" s="315">
        <f t="shared" si="8"/>
        <v>0.48881995799912664</v>
      </c>
      <c r="Z60" s="318">
        <f t="shared" si="9"/>
        <v>1.1065099957848313E-2</v>
      </c>
    </row>
    <row r="61" spans="1:26" s="3" customFormat="1">
      <c r="A61" s="8">
        <v>3</v>
      </c>
      <c r="B61" s="54" t="s">
        <v>82</v>
      </c>
      <c r="C61" s="1" t="s">
        <v>137</v>
      </c>
      <c r="D61" s="1" t="s">
        <v>478</v>
      </c>
      <c r="E61" s="1"/>
      <c r="F61" s="294">
        <v>3133.7904367373903</v>
      </c>
      <c r="G61" s="192">
        <f t="shared" si="10"/>
        <v>3133.7904367373903</v>
      </c>
      <c r="H61" s="194">
        <v>419.30514454340482</v>
      </c>
      <c r="I61" s="334">
        <f t="shared" si="11"/>
        <v>1314014.4520449112</v>
      </c>
      <c r="J61" s="347"/>
      <c r="K61" s="398">
        <v>88.326184172558484</v>
      </c>
      <c r="L61" s="452">
        <v>276795.75127346924</v>
      </c>
      <c r="M61" s="347"/>
      <c r="N61" s="194">
        <v>507.89513897063421</v>
      </c>
      <c r="O61" s="334">
        <f t="shared" si="12"/>
        <v>1590810.2033183805</v>
      </c>
      <c r="P61" s="324">
        <f t="shared" si="13"/>
        <v>1590810.2033183805</v>
      </c>
      <c r="Q61" s="315">
        <f t="shared" si="4"/>
        <v>0.80818379637679327</v>
      </c>
      <c r="R61" s="315">
        <f t="shared" si="5"/>
        <v>0.5374718569175011</v>
      </c>
      <c r="S61" s="455">
        <f t="shared" si="6"/>
        <v>3.3964904755957796E-3</v>
      </c>
      <c r="T61" s="318"/>
      <c r="U61"/>
      <c r="V61" s="50">
        <f>100-V60</f>
        <v>47.338276824945623</v>
      </c>
      <c r="W61" s="317">
        <v>1</v>
      </c>
      <c r="X61" s="315">
        <f t="shared" si="7"/>
        <v>0.75531645451031615</v>
      </c>
      <c r="Y61" s="315">
        <f t="shared" si="8"/>
        <v>0.49877683672812695</v>
      </c>
      <c r="Z61" s="318">
        <f t="shared" si="9"/>
        <v>4.0994518311039934E-3</v>
      </c>
    </row>
    <row r="62" spans="1:26" s="3" customFormat="1">
      <c r="A62" s="8">
        <v>2</v>
      </c>
      <c r="B62" s="54" t="s">
        <v>134</v>
      </c>
      <c r="C62" s="1" t="s">
        <v>554</v>
      </c>
      <c r="D62" s="1" t="s">
        <v>555</v>
      </c>
      <c r="E62" s="1"/>
      <c r="F62" s="294">
        <v>1514</v>
      </c>
      <c r="G62" s="192">
        <f t="shared" si="10"/>
        <v>1514</v>
      </c>
      <c r="H62" s="194">
        <v>375.02305427456565</v>
      </c>
      <c r="I62" s="334">
        <f t="shared" si="11"/>
        <v>567784.90417169244</v>
      </c>
      <c r="J62" s="347"/>
      <c r="K62" s="398">
        <v>137.54915569934698</v>
      </c>
      <c r="L62" s="452">
        <v>208249.42172881134</v>
      </c>
      <c r="M62" s="347"/>
      <c r="N62" s="194">
        <v>515.22565673409872</v>
      </c>
      <c r="O62" s="334">
        <f t="shared" si="12"/>
        <v>776034.32590050378</v>
      </c>
      <c r="P62" s="324">
        <f t="shared" si="13"/>
        <v>776034.32590050378</v>
      </c>
      <c r="Q62" s="315">
        <f t="shared" si="4"/>
        <v>0.81119812020445836</v>
      </c>
      <c r="R62" s="315">
        <f t="shared" si="5"/>
        <v>0.54195407322518785</v>
      </c>
      <c r="S62" s="455">
        <f t="shared" si="6"/>
        <v>1.627602195812167E-3</v>
      </c>
      <c r="T62" s="318"/>
      <c r="U62" s="50">
        <f>(SUM(O60:O$83)+((1-U60)*O59))/(SUM(F60:F$83)+((1-U60)*F59))</f>
        <v>776.39031056372039</v>
      </c>
      <c r="V62" s="50"/>
      <c r="W62" s="317">
        <v>1</v>
      </c>
      <c r="X62" s="315">
        <f t="shared" si="7"/>
        <v>0.75916156992536177</v>
      </c>
      <c r="Y62" s="315">
        <f t="shared" si="8"/>
        <v>0.50363403443556853</v>
      </c>
      <c r="Z62" s="318">
        <f t="shared" si="9"/>
        <v>1.9689573045846274E-3</v>
      </c>
    </row>
    <row r="63" spans="1:26" s="3" customFormat="1">
      <c r="A63" s="8">
        <v>1</v>
      </c>
      <c r="B63" s="54" t="s">
        <v>82</v>
      </c>
      <c r="C63" s="1" t="s">
        <v>584</v>
      </c>
      <c r="D63" s="1" t="s">
        <v>478</v>
      </c>
      <c r="E63" s="1"/>
      <c r="F63" s="294">
        <v>2560.0967590580822</v>
      </c>
      <c r="G63" s="192">
        <f t="shared" si="10"/>
        <v>2560.0967590580822</v>
      </c>
      <c r="H63" s="194">
        <v>391.54184256500628</v>
      </c>
      <c r="I63" s="334">
        <f t="shared" si="11"/>
        <v>1002385.0021863024</v>
      </c>
      <c r="J63" s="347"/>
      <c r="K63" s="398">
        <v>132.64103205082475</v>
      </c>
      <c r="L63" s="452">
        <v>339573.87627143564</v>
      </c>
      <c r="M63" s="347"/>
      <c r="N63" s="194">
        <f>O63/F63</f>
        <v>524.182874615831</v>
      </c>
      <c r="O63" s="334">
        <f t="shared" si="12"/>
        <v>1341958.8784577381</v>
      </c>
      <c r="P63" s="324">
        <f t="shared" si="13"/>
        <v>1341958.8784577381</v>
      </c>
      <c r="Q63" s="315">
        <f t="shared" si="4"/>
        <v>0.81629518801288437</v>
      </c>
      <c r="R63" s="315">
        <f t="shared" si="5"/>
        <v>0.54970495455674317</v>
      </c>
      <c r="S63" s="455">
        <f t="shared" si="6"/>
        <v>2.7311836614584478E-3</v>
      </c>
      <c r="T63" s="318"/>
      <c r="U63" s="318"/>
      <c r="V63" s="318"/>
      <c r="W63" s="317">
        <v>1</v>
      </c>
      <c r="X63" s="315">
        <f t="shared" si="7"/>
        <v>0.76566346392289331</v>
      </c>
      <c r="Y63" s="315">
        <f t="shared" si="8"/>
        <v>0.51203335308730757</v>
      </c>
      <c r="Z63" s="318">
        <f t="shared" si="9"/>
        <v>3.3104890444402681E-3</v>
      </c>
    </row>
    <row r="64" spans="1:26" s="3" customFormat="1">
      <c r="A64" s="8">
        <v>1</v>
      </c>
      <c r="B64" s="54" t="s">
        <v>83</v>
      </c>
      <c r="C64" s="1" t="s">
        <v>584</v>
      </c>
      <c r="D64" s="1" t="s">
        <v>478</v>
      </c>
      <c r="E64" s="1"/>
      <c r="F64" s="294">
        <v>405.1970671593831</v>
      </c>
      <c r="G64" s="192">
        <f t="shared" si="10"/>
        <v>405.1970671593831</v>
      </c>
      <c r="H64" s="194">
        <v>414.68568164609638</v>
      </c>
      <c r="I64" s="334">
        <f t="shared" si="11"/>
        <v>168029.42199598788</v>
      </c>
      <c r="J64" s="347"/>
      <c r="K64" s="398">
        <v>116.7301793535444</v>
      </c>
      <c r="L64" s="452">
        <v>47298.726323044968</v>
      </c>
      <c r="M64" s="347"/>
      <c r="N64" s="194">
        <f>O64/F64</f>
        <v>531.41586099964081</v>
      </c>
      <c r="O64" s="334">
        <f t="shared" si="12"/>
        <v>215328.14831903286</v>
      </c>
      <c r="P64" s="324">
        <f t="shared" si="13"/>
        <v>215328.14831903286</v>
      </c>
      <c r="Q64" s="315">
        <f t="shared" si="4"/>
        <v>0.81710192194580278</v>
      </c>
      <c r="R64" s="315">
        <f t="shared" si="5"/>
        <v>0.55094864611224181</v>
      </c>
      <c r="S64" s="455">
        <f t="shared" si="6"/>
        <v>4.2978226648603856E-4</v>
      </c>
      <c r="T64" s="318"/>
      <c r="U64" s="318"/>
      <c r="V64" s="318"/>
      <c r="W64" s="317">
        <v>1</v>
      </c>
      <c r="X64" s="315">
        <f t="shared" si="7"/>
        <v>0.76669254548766597</v>
      </c>
      <c r="Y64" s="315">
        <f t="shared" si="8"/>
        <v>0.51338109165177015</v>
      </c>
      <c r="Z64" s="318">
        <f t="shared" si="9"/>
        <v>5.2168421862042885E-4</v>
      </c>
    </row>
    <row r="65" spans="1:29" s="3" customFormat="1">
      <c r="A65" s="8">
        <v>3</v>
      </c>
      <c r="B65" s="54" t="s">
        <v>82</v>
      </c>
      <c r="C65" s="1" t="s">
        <v>633</v>
      </c>
      <c r="D65" s="1" t="s">
        <v>129</v>
      </c>
      <c r="E65" s="1"/>
      <c r="F65" s="294">
        <v>40503.003137927604</v>
      </c>
      <c r="G65" s="192">
        <f t="shared" si="10"/>
        <v>40503.003137927604</v>
      </c>
      <c r="H65" s="194">
        <v>403.90217358181422</v>
      </c>
      <c r="I65" s="334">
        <f t="shared" si="11"/>
        <v>16359251.004000001</v>
      </c>
      <c r="J65" s="347"/>
      <c r="K65" s="398">
        <v>182.48038697538311</v>
      </c>
      <c r="L65" s="452">
        <v>7391003.6862741858</v>
      </c>
      <c r="M65" s="347"/>
      <c r="N65" s="194">
        <v>535.28517286671354</v>
      </c>
      <c r="O65" s="334">
        <f t="shared" si="12"/>
        <v>23750254.690274186</v>
      </c>
      <c r="P65" s="324">
        <f t="shared" si="13"/>
        <v>23750254.690274186</v>
      </c>
      <c r="Q65" s="315">
        <f t="shared" si="4"/>
        <v>0.8977420589673677</v>
      </c>
      <c r="R65" s="315">
        <f t="shared" si="5"/>
        <v>0.68812528293295672</v>
      </c>
      <c r="S65" s="455">
        <f t="shared" si="6"/>
        <v>3.8366162173390311E-2</v>
      </c>
      <c r="T65" s="318"/>
      <c r="U65" s="318"/>
      <c r="V65" s="318"/>
      <c r="W65" s="317">
        <v>1</v>
      </c>
      <c r="X65" s="315">
        <f t="shared" si="7"/>
        <v>0.86955827978177991</v>
      </c>
      <c r="Y65" s="315">
        <f t="shared" si="8"/>
        <v>0.66203390091879877</v>
      </c>
      <c r="Z65" s="318">
        <f t="shared" si="9"/>
        <v>4.7404216319609421E-2</v>
      </c>
      <c r="AB65" s="50">
        <f>(0.8-X64)/(X65-X64)</f>
        <v>0.32379542848643189</v>
      </c>
      <c r="AC65" s="50">
        <f>100*(Y64+(AB65*(Y65-Y64)))</f>
        <v>56.151419172409959</v>
      </c>
    </row>
    <row r="66" spans="1:29" s="3" customFormat="1">
      <c r="A66" s="8">
        <v>2</v>
      </c>
      <c r="B66" s="54" t="s">
        <v>82</v>
      </c>
      <c r="C66" s="1" t="s">
        <v>76</v>
      </c>
      <c r="D66" s="1" t="s">
        <v>92</v>
      </c>
      <c r="E66" s="1"/>
      <c r="F66" s="294">
        <v>10725.923050589983</v>
      </c>
      <c r="G66" s="192">
        <f t="shared" si="10"/>
        <v>10725.923050589983</v>
      </c>
      <c r="H66" s="194">
        <v>400.71584086964612</v>
      </c>
      <c r="I66" s="334">
        <f t="shared" si="11"/>
        <v>4298047.2743202848</v>
      </c>
      <c r="J66" s="347"/>
      <c r="K66" s="398">
        <v>152.65733536142895</v>
      </c>
      <c r="L66" s="452">
        <v>1637390.8321947961</v>
      </c>
      <c r="M66" s="347"/>
      <c r="N66" s="194">
        <v>553.37317623107504</v>
      </c>
      <c r="O66" s="334">
        <f t="shared" si="12"/>
        <v>5935438.1065150807</v>
      </c>
      <c r="P66" s="324">
        <f t="shared" si="13"/>
        <v>5935438.1065150807</v>
      </c>
      <c r="Q66" s="315">
        <f t="shared" si="4"/>
        <v>0.91909701631551544</v>
      </c>
      <c r="R66" s="315">
        <f t="shared" si="5"/>
        <v>0.72240716530126114</v>
      </c>
      <c r="S66" s="455">
        <f t="shared" si="6"/>
        <v>8.6766606908940183E-3</v>
      </c>
      <c r="T66" s="318"/>
      <c r="U66" s="50">
        <f>(0.9-Q65)/(Q66-Q65)</f>
        <v>0.10573381139663916</v>
      </c>
      <c r="V66" s="50">
        <f>100*(R65+(U66*(R66-R65)))</f>
        <v>69.175003701760872</v>
      </c>
      <c r="W66" s="317">
        <v>1</v>
      </c>
      <c r="X66" s="315">
        <f t="shared" si="7"/>
        <v>0.89679897467109115</v>
      </c>
      <c r="Y66" s="315">
        <f t="shared" si="8"/>
        <v>0.69918379932074526</v>
      </c>
      <c r="Z66" s="318">
        <f t="shared" si="9"/>
        <v>1.1036282983916811E-2</v>
      </c>
      <c r="AB66"/>
      <c r="AC66" s="50">
        <f>100-AC65</f>
        <v>43.848580827590041</v>
      </c>
    </row>
    <row r="67" spans="1:29" s="3" customFormat="1">
      <c r="A67" s="8">
        <v>3</v>
      </c>
      <c r="B67" s="54" t="s">
        <v>136</v>
      </c>
      <c r="C67" s="1" t="s">
        <v>137</v>
      </c>
      <c r="D67" s="1" t="s">
        <v>478</v>
      </c>
      <c r="E67" s="1"/>
      <c r="F67" s="294">
        <v>930.99772496026071</v>
      </c>
      <c r="G67" s="192">
        <f t="shared" si="10"/>
        <v>930.99772496026071</v>
      </c>
      <c r="H67" s="194">
        <v>507.27549959361124</v>
      </c>
      <c r="I67" s="334">
        <f t="shared" si="11"/>
        <v>472272.3360497317</v>
      </c>
      <c r="J67" s="347"/>
      <c r="K67" s="398">
        <v>77.459813446997401</v>
      </c>
      <c r="L67" s="452">
        <v>72114.910095000785</v>
      </c>
      <c r="M67" s="347"/>
      <c r="N67" s="194">
        <v>584.80509665632667</v>
      </c>
      <c r="O67" s="334">
        <f t="shared" si="12"/>
        <v>544387.24614473246</v>
      </c>
      <c r="P67" s="324">
        <f t="shared" si="13"/>
        <v>544387.24614473246</v>
      </c>
      <c r="Q67" s="315">
        <f t="shared" si="4"/>
        <v>0.92095060193364597</v>
      </c>
      <c r="R67" s="315">
        <f t="shared" si="5"/>
        <v>0.72555143522712451</v>
      </c>
      <c r="S67" s="455">
        <f t="shared" si="6"/>
        <v>7.2677056427415969E-4</v>
      </c>
      <c r="T67" s="318"/>
      <c r="U67"/>
      <c r="V67" s="50">
        <f>100-V66</f>
        <v>30.824996298239128</v>
      </c>
      <c r="W67" s="317">
        <v>1</v>
      </c>
      <c r="X67" s="315">
        <f t="shared" si="7"/>
        <v>0.89916343550571276</v>
      </c>
      <c r="Y67" s="315">
        <f t="shared" si="8"/>
        <v>0.70259111829580012</v>
      </c>
      <c r="Z67" s="318">
        <f t="shared" si="9"/>
        <v>9.3204088765642707E-4</v>
      </c>
      <c r="AB67" s="50">
        <f>(SUM(O66:O$83)+((1-AB65)*O65))/(SUM(F66:F$83)+((1-AB65)*F65))</f>
        <v>889.61931058685536</v>
      </c>
      <c r="AC67" s="50"/>
    </row>
    <row r="68" spans="1:29" s="3" customFormat="1">
      <c r="A68" s="8">
        <v>2</v>
      </c>
      <c r="B68" s="54" t="s">
        <v>134</v>
      </c>
      <c r="C68" s="1" t="s">
        <v>565</v>
      </c>
      <c r="D68" s="1" t="s">
        <v>483</v>
      </c>
      <c r="E68" s="1"/>
      <c r="F68" s="294">
        <v>685.91208771434367</v>
      </c>
      <c r="G68" s="192">
        <f t="shared" si="10"/>
        <v>685.91208771434367</v>
      </c>
      <c r="H68" s="194">
        <v>466.35438760789901</v>
      </c>
      <c r="I68" s="334">
        <f t="shared" si="11"/>
        <v>319878.11161887826</v>
      </c>
      <c r="J68" s="347"/>
      <c r="K68" s="398">
        <v>137.54915569934698</v>
      </c>
      <c r="L68" s="452">
        <v>94346.628549084402</v>
      </c>
      <c r="M68" s="347"/>
      <c r="N68" s="194">
        <v>606.55699006743203</v>
      </c>
      <c r="O68" s="334">
        <f t="shared" si="12"/>
        <v>414224.74016796268</v>
      </c>
      <c r="P68" s="324">
        <f t="shared" si="13"/>
        <v>414224.74016796268</v>
      </c>
      <c r="Q68" s="315">
        <f t="shared" si="4"/>
        <v>0.92231623016989484</v>
      </c>
      <c r="R68" s="315">
        <f t="shared" si="5"/>
        <v>0.72794391301252881</v>
      </c>
      <c r="S68" s="455">
        <f t="shared" si="6"/>
        <v>5.3228294404914238E-4</v>
      </c>
      <c r="T68" s="318"/>
      <c r="U68" s="50">
        <f>(SUM(O66:O$83)+((1-U66)*O65))/(SUM(F66:F$83)+((1-U66)*F65))</f>
        <v>859.0393906133047</v>
      </c>
      <c r="V68" s="50"/>
      <c r="W68" s="317">
        <v>1</v>
      </c>
      <c r="X68" s="315">
        <f t="shared" si="7"/>
        <v>0.90090545079094164</v>
      </c>
      <c r="Y68" s="315">
        <f t="shared" si="8"/>
        <v>0.70518375033688252</v>
      </c>
      <c r="Z68" s="318">
        <f t="shared" si="9"/>
        <v>6.8338217507448796E-4</v>
      </c>
      <c r="AB68" s="50">
        <f>(0.9-X67)/(X68-X67)</f>
        <v>0.48022798730916216</v>
      </c>
      <c r="AC68" s="50">
        <f>100*(Y67+(AB68*(Y68-Y67)))</f>
        <v>70.383617276272233</v>
      </c>
    </row>
    <row r="69" spans="1:29" s="3" customFormat="1">
      <c r="A69" s="8">
        <v>3</v>
      </c>
      <c r="B69" s="54" t="s">
        <v>136</v>
      </c>
      <c r="C69" s="1" t="s">
        <v>554</v>
      </c>
      <c r="D69" s="1" t="s">
        <v>555</v>
      </c>
      <c r="E69" s="1"/>
      <c r="F69" s="294">
        <v>299</v>
      </c>
      <c r="G69" s="192">
        <f t="shared" si="10"/>
        <v>299</v>
      </c>
      <c r="H69" s="194">
        <v>378.52299591041134</v>
      </c>
      <c r="I69" s="334">
        <f t="shared" si="11"/>
        <v>113178.37577721299</v>
      </c>
      <c r="J69" s="347"/>
      <c r="K69" s="398">
        <v>233.29624915256639</v>
      </c>
      <c r="L69" s="452">
        <v>69755.578496617352</v>
      </c>
      <c r="M69" s="347"/>
      <c r="N69" s="194">
        <v>612.02942186401617</v>
      </c>
      <c r="O69" s="334">
        <f t="shared" si="12"/>
        <v>182933.95427383034</v>
      </c>
      <c r="P69" s="324">
        <f t="shared" si="13"/>
        <v>182933.95427383034</v>
      </c>
      <c r="Q69" s="315">
        <f t="shared" si="4"/>
        <v>0.92291152926135578</v>
      </c>
      <c r="R69" s="315">
        <f t="shared" si="5"/>
        <v>0.72900050229693236</v>
      </c>
      <c r="S69" s="455">
        <f t="shared" si="6"/>
        <v>2.3114472198511806E-4</v>
      </c>
      <c r="T69" s="318"/>
      <c r="U69" s="318"/>
      <c r="V69" s="318"/>
      <c r="W69" s="317">
        <v>1</v>
      </c>
      <c r="X69" s="315">
        <f t="shared" si="7"/>
        <v>0.90166482298981787</v>
      </c>
      <c r="Y69" s="315">
        <f t="shared" si="8"/>
        <v>0.70632873368833549</v>
      </c>
      <c r="Z69" s="318">
        <f t="shared" si="9"/>
        <v>2.9695841369434375E-4</v>
      </c>
      <c r="AB69"/>
      <c r="AC69" s="50">
        <f>100-AC68</f>
        <v>29.616382723727767</v>
      </c>
    </row>
    <row r="70" spans="1:29" s="3" customFormat="1">
      <c r="A70" s="8">
        <v>1</v>
      </c>
      <c r="B70" s="54" t="s">
        <v>82</v>
      </c>
      <c r="C70" s="1" t="s">
        <v>611</v>
      </c>
      <c r="D70" s="1" t="s">
        <v>133</v>
      </c>
      <c r="E70" s="1"/>
      <c r="F70" s="294">
        <v>1132.3913113228157</v>
      </c>
      <c r="G70" s="192">
        <f t="shared" si="10"/>
        <v>1132.3913113228157</v>
      </c>
      <c r="H70" s="194">
        <v>356.43887176112037</v>
      </c>
      <c r="I70" s="334">
        <f t="shared" si="11"/>
        <v>403628.28140000004</v>
      </c>
      <c r="J70" s="347"/>
      <c r="K70" s="398">
        <v>312.37850720257956</v>
      </c>
      <c r="L70" s="452">
        <v>353734.70740019268</v>
      </c>
      <c r="M70" s="347"/>
      <c r="N70" s="194">
        <f>O70/F70</f>
        <v>668.81737896369998</v>
      </c>
      <c r="O70" s="334">
        <f t="shared" si="12"/>
        <v>757362.98880019272</v>
      </c>
      <c r="P70" s="324">
        <f t="shared" si="13"/>
        <v>757362.98880019272</v>
      </c>
      <c r="Q70" s="315">
        <f t="shared" si="4"/>
        <v>0.92516608283596691</v>
      </c>
      <c r="R70" s="315">
        <f t="shared" si="5"/>
        <v>0.73337487676200452</v>
      </c>
      <c r="S70" s="455">
        <f t="shared" si="6"/>
        <v>8.6958634823218765E-4</v>
      </c>
      <c r="T70" s="318"/>
      <c r="U70" s="318"/>
      <c r="V70" s="318"/>
      <c r="W70" s="317">
        <v>1</v>
      </c>
      <c r="X70" s="315">
        <f t="shared" si="7"/>
        <v>0.90454076439472619</v>
      </c>
      <c r="Y70" s="315">
        <f t="shared" si="8"/>
        <v>0.71106906752425536</v>
      </c>
      <c r="Z70" s="318">
        <f t="shared" si="9"/>
        <v>1.1181884108026616E-3</v>
      </c>
      <c r="AB70" s="50">
        <f>(SUM(O69:O$83)+((1-AB68)*O68))/(SUM(F69:F$83)+((1-AB68)*F68))</f>
        <v>1201.740420487276</v>
      </c>
      <c r="AC70" s="50"/>
    </row>
    <row r="71" spans="1:29" s="3" customFormat="1">
      <c r="A71" s="8">
        <v>3</v>
      </c>
      <c r="B71" s="54" t="s">
        <v>136</v>
      </c>
      <c r="C71" s="1" t="s">
        <v>565</v>
      </c>
      <c r="D71" s="1" t="s">
        <v>483</v>
      </c>
      <c r="E71" s="1"/>
      <c r="F71" s="294">
        <v>216.02648296594066</v>
      </c>
      <c r="G71" s="192">
        <f t="shared" si="10"/>
        <v>216.02648296594066</v>
      </c>
      <c r="H71" s="194">
        <v>492.03299591041127</v>
      </c>
      <c r="I71" s="334">
        <f t="shared" si="11"/>
        <v>106292.15760972121</v>
      </c>
      <c r="J71" s="347"/>
      <c r="K71" s="398">
        <v>233.29624915256639</v>
      </c>
      <c r="L71" s="452">
        <v>50398.168193574733</v>
      </c>
      <c r="M71" s="347"/>
      <c r="N71" s="194">
        <v>725.53942186401605</v>
      </c>
      <c r="O71" s="334">
        <f t="shared" si="12"/>
        <v>156690.32580329594</v>
      </c>
      <c r="P71" s="324">
        <f t="shared" si="13"/>
        <v>156690.32580329594</v>
      </c>
      <c r="Q71" s="315">
        <f t="shared" si="4"/>
        <v>0.92559618440466629</v>
      </c>
      <c r="R71" s="315">
        <f t="shared" si="5"/>
        <v>0.73427988819014889</v>
      </c>
      <c r="S71" s="455">
        <f t="shared" si="6"/>
        <v>1.6477513771477701E-4</v>
      </c>
      <c r="T71" s="318"/>
      <c r="U71" s="318"/>
      <c r="V71" s="318"/>
      <c r="W71" s="317">
        <v>1</v>
      </c>
      <c r="X71" s="315">
        <f t="shared" si="7"/>
        <v>0.90508940822544648</v>
      </c>
      <c r="Y71" s="315">
        <f t="shared" si="8"/>
        <v>0.71204979204360819</v>
      </c>
      <c r="Z71" s="318">
        <f t="shared" si="9"/>
        <v>2.1205704740974644E-4</v>
      </c>
      <c r="AB71" s="50"/>
      <c r="AC71" s="50"/>
    </row>
    <row r="72" spans="1:29" s="3" customFormat="1">
      <c r="A72" s="8">
        <v>2</v>
      </c>
      <c r="B72" s="54" t="s">
        <v>82</v>
      </c>
      <c r="C72" s="1" t="s">
        <v>612</v>
      </c>
      <c r="D72" s="1" t="s">
        <v>130</v>
      </c>
      <c r="E72" s="1"/>
      <c r="F72" s="294">
        <v>3835.3378949999997</v>
      </c>
      <c r="G72" s="192">
        <f t="shared" si="10"/>
        <v>3835.3378949999997</v>
      </c>
      <c r="H72" s="194">
        <v>198.99997394101834</v>
      </c>
      <c r="I72" s="334">
        <f t="shared" si="11"/>
        <v>763232.14116000012</v>
      </c>
      <c r="J72" s="347"/>
      <c r="K72" s="398">
        <v>208.83483357927449</v>
      </c>
      <c r="L72" s="452">
        <v>800952.15102260991</v>
      </c>
      <c r="M72" s="347"/>
      <c r="N72" s="194">
        <v>940.61823607063002</v>
      </c>
      <c r="O72" s="334">
        <f t="shared" si="12"/>
        <v>1564184.2921826099</v>
      </c>
      <c r="P72" s="324">
        <f t="shared" si="13"/>
        <v>1564184.2921826099</v>
      </c>
      <c r="Q72" s="315">
        <f t="shared" si="4"/>
        <v>0.93323221505463017</v>
      </c>
      <c r="R72" s="315">
        <f t="shared" si="5"/>
        <v>0.743314298278276</v>
      </c>
      <c r="S72" s="455">
        <f t="shared" si="6"/>
        <v>2.9111161352131528E-3</v>
      </c>
      <c r="T72" s="318"/>
      <c r="U72" s="318"/>
      <c r="V72" s="318"/>
      <c r="W72" s="317">
        <v>1</v>
      </c>
      <c r="X72" s="315">
        <f t="shared" si="7"/>
        <v>0.91483004023467585</v>
      </c>
      <c r="Y72" s="315">
        <f t="shared" si="8"/>
        <v>0.72184001923386742</v>
      </c>
      <c r="Z72" s="318">
        <f t="shared" si="9"/>
        <v>3.7601726404524862E-3</v>
      </c>
    </row>
    <row r="73" spans="1:29" s="3" customFormat="1">
      <c r="A73" s="8">
        <v>3</v>
      </c>
      <c r="B73" s="54" t="s">
        <v>82</v>
      </c>
      <c r="C73" s="1" t="s">
        <v>612</v>
      </c>
      <c r="D73" s="1" t="s">
        <v>130</v>
      </c>
      <c r="E73" s="1"/>
      <c r="F73" s="294">
        <v>18226.351412067419</v>
      </c>
      <c r="G73" s="192">
        <f t="shared" si="10"/>
        <v>18226.351412067419</v>
      </c>
      <c r="H73" s="194">
        <v>403.90217358181422</v>
      </c>
      <c r="I73" s="334">
        <f t="shared" si="11"/>
        <v>7361662.9517999999</v>
      </c>
      <c r="J73" s="347"/>
      <c r="K73" s="398">
        <v>311.08856473974612</v>
      </c>
      <c r="L73" s="452">
        <v>5670009.5012222985</v>
      </c>
      <c r="M73" s="347"/>
      <c r="N73" s="194">
        <v>1053.0043732948457</v>
      </c>
      <c r="O73" s="334">
        <f t="shared" si="12"/>
        <v>13031672.453022297</v>
      </c>
      <c r="P73" s="324">
        <f t="shared" si="13"/>
        <v>13031672.453022297</v>
      </c>
      <c r="Q73" s="315">
        <f t="shared" si="4"/>
        <v>0.96952027671433438</v>
      </c>
      <c r="R73" s="315">
        <f t="shared" si="5"/>
        <v>0.81858258582160071</v>
      </c>
      <c r="S73" s="455">
        <f t="shared" si="6"/>
        <v>1.2368989308151813E-2</v>
      </c>
      <c r="T73" s="318"/>
      <c r="U73" s="50">
        <f>(0.95-Q72)/(Q73-Q72)</f>
        <v>0.46207441727286969</v>
      </c>
      <c r="V73" s="50">
        <f>100*(R72+(U73*(R73-R72)))</f>
        <v>77.809384838398458</v>
      </c>
      <c r="W73" s="317">
        <v>1</v>
      </c>
      <c r="X73" s="315">
        <f t="shared" si="7"/>
        <v>0.96111962066702705</v>
      </c>
      <c r="Y73" s="315">
        <f t="shared" si="8"/>
        <v>0.80340523800109198</v>
      </c>
      <c r="Z73" s="318">
        <f t="shared" si="9"/>
        <v>1.6233959701511487E-2</v>
      </c>
      <c r="AB73" s="50">
        <f>(0.95-X72)/(X73-X72)</f>
        <v>0.75978134683511334</v>
      </c>
      <c r="AC73" s="50">
        <f>100*(Y72+(AB73*(Y73-Y72)))</f>
        <v>78.381175100372985</v>
      </c>
    </row>
    <row r="74" spans="1:29" s="3" customFormat="1">
      <c r="A74" s="8">
        <v>3</v>
      </c>
      <c r="B74" s="54" t="s">
        <v>136</v>
      </c>
      <c r="C74" s="1" t="s">
        <v>566</v>
      </c>
      <c r="D74" s="1" t="s">
        <v>579</v>
      </c>
      <c r="E74" s="1"/>
      <c r="F74" s="294">
        <v>384.67464745420693</v>
      </c>
      <c r="G74" s="192">
        <f t="shared" ref="G74:G83" si="14">F74*W74</f>
        <v>384.67464745420693</v>
      </c>
      <c r="H74" s="194">
        <v>822.03299591041127</v>
      </c>
      <c r="I74" s="334">
        <f t="shared" ref="I74:I83" si="15">F74*H74</f>
        <v>316215.25289756298</v>
      </c>
      <c r="J74" s="347"/>
      <c r="K74" s="398">
        <v>1273.7051736752167</v>
      </c>
      <c r="L74" s="452">
        <v>489962.08864411339</v>
      </c>
      <c r="M74" s="347"/>
      <c r="N74" s="194">
        <v>1267.390597876288</v>
      </c>
      <c r="O74" s="334">
        <f t="shared" ref="O74:O83" si="16">I74+L74</f>
        <v>806177.34154167632</v>
      </c>
      <c r="P74" s="324">
        <f t="shared" ref="P74:P83" si="17">O74*W74</f>
        <v>806177.34154167632</v>
      </c>
      <c r="Q74" s="315">
        <f t="shared" si="4"/>
        <v>0.97028615118971084</v>
      </c>
      <c r="R74" s="315">
        <f t="shared" si="5"/>
        <v>0.82323890205213945</v>
      </c>
      <c r="S74" s="455">
        <f t="shared" si="6"/>
        <v>2.2821905961579591E-4</v>
      </c>
      <c r="T74" s="318"/>
      <c r="U74"/>
      <c r="V74" s="50">
        <f>100-V73</f>
        <v>22.190615161601542</v>
      </c>
      <c r="W74" s="317">
        <v>1</v>
      </c>
      <c r="X74" s="315">
        <f t="shared" si="7"/>
        <v>0.9620965813121416</v>
      </c>
      <c r="Y74" s="315">
        <f t="shared" si="8"/>
        <v>0.80845110079921478</v>
      </c>
      <c r="Z74" s="318">
        <f t="shared" si="9"/>
        <v>3.0418633279399718E-4</v>
      </c>
      <c r="AB74"/>
      <c r="AC74" s="50">
        <f>100-AC73</f>
        <v>21.618824899627015</v>
      </c>
    </row>
    <row r="75" spans="1:29" s="3" customFormat="1">
      <c r="A75" s="8">
        <v>2</v>
      </c>
      <c r="B75" s="54" t="s">
        <v>134</v>
      </c>
      <c r="C75" s="1" t="s">
        <v>584</v>
      </c>
      <c r="D75" s="1" t="s">
        <v>478</v>
      </c>
      <c r="E75" s="1"/>
      <c r="F75" s="294">
        <v>2386.8172746096379</v>
      </c>
      <c r="G75" s="192">
        <f t="shared" si="14"/>
        <v>2386.8172746096379</v>
      </c>
      <c r="H75" s="194">
        <v>1076.2512523700495</v>
      </c>
      <c r="I75" s="334">
        <f t="shared" si="15"/>
        <v>2568815.0809770911</v>
      </c>
      <c r="J75" s="347"/>
      <c r="K75" s="398">
        <v>203.56716305408384</v>
      </c>
      <c r="L75" s="452">
        <v>485877.62132076418</v>
      </c>
      <c r="M75" s="347"/>
      <c r="N75" s="194">
        <v>1282.7805146345263</v>
      </c>
      <c r="O75" s="334">
        <f t="shared" si="16"/>
        <v>3054692.7022978552</v>
      </c>
      <c r="P75" s="324">
        <f t="shared" si="17"/>
        <v>3054692.7022978552</v>
      </c>
      <c r="Q75" s="315">
        <f t="shared" si="4"/>
        <v>0.9750382252868961</v>
      </c>
      <c r="R75" s="315">
        <f t="shared" si="5"/>
        <v>0.84088218533000658</v>
      </c>
      <c r="S75" s="455">
        <f t="shared" si="6"/>
        <v>1.336298866149085E-3</v>
      </c>
      <c r="T75" s="318"/>
      <c r="U75" s="50">
        <f>(SUM(O73:O$83)+((1-U73)*O72))/(SUM(F73:F$83)+((1-U73)*F72))</f>
        <v>1272.0493004433126</v>
      </c>
      <c r="V75" s="50"/>
      <c r="W75" s="317">
        <v>1</v>
      </c>
      <c r="X75" s="315">
        <f t="shared" si="7"/>
        <v>0.96815839630256351</v>
      </c>
      <c r="Y75" s="315">
        <f t="shared" si="8"/>
        <v>0.82757041794194919</v>
      </c>
      <c r="Z75" s="318">
        <f t="shared" si="9"/>
        <v>1.78358879168332E-3</v>
      </c>
      <c r="AB75" s="50">
        <f>(SUM(O74:O$83)+((1-AB73)*O73))/(SUM(F74:F$83)+((1-AB73)*F73))</f>
        <v>1754.4489458872395</v>
      </c>
      <c r="AC75" s="50"/>
    </row>
    <row r="76" spans="1:29" s="3" customFormat="1">
      <c r="A76" s="8">
        <v>1</v>
      </c>
      <c r="B76" s="54" t="s">
        <v>82</v>
      </c>
      <c r="C76" s="1" t="s">
        <v>667</v>
      </c>
      <c r="D76" s="1" t="s">
        <v>205</v>
      </c>
      <c r="E76" s="1"/>
      <c r="F76" s="294">
        <v>536.22582205709273</v>
      </c>
      <c r="G76" s="192">
        <f t="shared" si="14"/>
        <v>536.22582205709273</v>
      </c>
      <c r="H76" s="194">
        <v>1199.650705175477</v>
      </c>
      <c r="I76" s="334">
        <f t="shared" si="15"/>
        <v>643283.6855640912</v>
      </c>
      <c r="J76" s="347"/>
      <c r="K76" s="398">
        <v>147.89824143553011</v>
      </c>
      <c r="L76" s="452">
        <v>79306.856094565504</v>
      </c>
      <c r="M76" s="347"/>
      <c r="N76" s="194">
        <f>O76/F76</f>
        <v>1347.5489466110071</v>
      </c>
      <c r="O76" s="334">
        <f t="shared" si="16"/>
        <v>722590.54165865667</v>
      </c>
      <c r="P76" s="324">
        <f t="shared" si="17"/>
        <v>722590.54165865667</v>
      </c>
      <c r="Q76" s="315">
        <f t="shared" ref="Q76:Q83" si="18">(F76/F$86)+Q75</f>
        <v>0.97610583312866361</v>
      </c>
      <c r="R76" s="315">
        <f t="shared" ref="R76:R83" si="19">(O76/O$86)+R75</f>
        <v>0.84505572121818318</v>
      </c>
      <c r="S76" s="455">
        <f t="shared" ref="S76:S83" si="20">(Q76-Q75)*(Q76-R76+Q75-R75)</f>
        <v>2.8313616741859051E-4</v>
      </c>
      <c r="T76" s="318"/>
      <c r="U76"/>
      <c r="V76" s="50"/>
      <c r="W76" s="317">
        <v>1</v>
      </c>
      <c r="X76" s="315">
        <f t="shared" ref="X76:X83" si="21">(W76*(F76/F$85))+X75</f>
        <v>0.96952025242828166</v>
      </c>
      <c r="Y76" s="315">
        <f t="shared" ref="Y76:Y83" si="22">(W76*(O76/O$85))+Y75</f>
        <v>0.83209311108221817</v>
      </c>
      <c r="Z76" s="318">
        <f t="shared" ref="Z76:Z83" si="23">(X76-X75)*(X76-Y76+X75-Y75)</f>
        <v>3.786165938148047E-4</v>
      </c>
      <c r="AB76"/>
      <c r="AC76" s="50"/>
    </row>
    <row r="77" spans="1:29" s="3" customFormat="1">
      <c r="A77" s="8">
        <v>2</v>
      </c>
      <c r="B77" s="54" t="s">
        <v>82</v>
      </c>
      <c r="C77" s="1" t="s">
        <v>611</v>
      </c>
      <c r="D77" s="1" t="s">
        <v>133</v>
      </c>
      <c r="E77" s="1"/>
      <c r="F77" s="294">
        <v>426.14865500000002</v>
      </c>
      <c r="G77" s="192">
        <f t="shared" si="14"/>
        <v>426.14865500000002</v>
      </c>
      <c r="H77" s="194">
        <v>198.99997394101834</v>
      </c>
      <c r="I77" s="334">
        <f t="shared" si="15"/>
        <v>84803.571240000019</v>
      </c>
      <c r="J77" s="347"/>
      <c r="K77" s="398">
        <v>578.61366737276012</v>
      </c>
      <c r="L77" s="452">
        <v>246575.43611551911</v>
      </c>
      <c r="M77" s="347"/>
      <c r="N77" s="194">
        <v>1523.912098590569</v>
      </c>
      <c r="O77" s="334">
        <f t="shared" si="16"/>
        <v>331379.0073555191</v>
      </c>
      <c r="P77" s="324">
        <f t="shared" si="17"/>
        <v>331379.0073555191</v>
      </c>
      <c r="Q77" s="315">
        <f t="shared" si="18"/>
        <v>0.97695428097865955</v>
      </c>
      <c r="R77" s="315">
        <f t="shared" si="19"/>
        <v>0.84696969891378371</v>
      </c>
      <c r="S77" s="455">
        <f t="shared" si="20"/>
        <v>2.2147432487773847E-4</v>
      </c>
      <c r="T77" s="318"/>
      <c r="U77" s="318"/>
      <c r="V77" s="318"/>
      <c r="W77" s="317">
        <v>1</v>
      </c>
      <c r="X77" s="315">
        <f t="shared" si="21"/>
        <v>0.97060254487375164</v>
      </c>
      <c r="Y77" s="315">
        <f t="shared" si="22"/>
        <v>0.83416721180315445</v>
      </c>
      <c r="Z77" s="318">
        <f t="shared" si="23"/>
        <v>2.9639928715886736E-4</v>
      </c>
    </row>
    <row r="78" spans="1:29" s="3" customFormat="1">
      <c r="A78" s="8">
        <v>2</v>
      </c>
      <c r="B78" s="54" t="s">
        <v>82</v>
      </c>
      <c r="C78" s="1" t="s">
        <v>667</v>
      </c>
      <c r="D78" s="1" t="s">
        <v>205</v>
      </c>
      <c r="E78" s="1"/>
      <c r="F78" s="294">
        <v>1352.9526393621529</v>
      </c>
      <c r="G78" s="192">
        <f t="shared" si="14"/>
        <v>1352.9526393621529</v>
      </c>
      <c r="H78" s="194">
        <v>1442.8097033556694</v>
      </c>
      <c r="I78" s="334">
        <f t="shared" si="15"/>
        <v>1952053.1962523777</v>
      </c>
      <c r="J78" s="347"/>
      <c r="K78" s="398">
        <v>152.73506955191178</v>
      </c>
      <c r="L78" s="452">
        <v>206643.31547342104</v>
      </c>
      <c r="M78" s="347"/>
      <c r="N78" s="194">
        <v>1655.3855074312269</v>
      </c>
      <c r="O78" s="334">
        <f t="shared" si="16"/>
        <v>2158696.5117257987</v>
      </c>
      <c r="P78" s="324">
        <f t="shared" si="17"/>
        <v>2158696.5117257987</v>
      </c>
      <c r="Q78" s="315">
        <f t="shared" si="18"/>
        <v>0.97964796484823136</v>
      </c>
      <c r="R78" s="315">
        <f t="shared" si="19"/>
        <v>0.85943789057138376</v>
      </c>
      <c r="S78" s="455">
        <f t="shared" si="20"/>
        <v>6.7394531004076141E-4</v>
      </c>
      <c r="T78" s="318"/>
      <c r="U78" s="318"/>
      <c r="V78" s="318"/>
      <c r="W78" s="317">
        <v>1</v>
      </c>
      <c r="X78" s="315">
        <f t="shared" si="21"/>
        <v>0.97403864728421274</v>
      </c>
      <c r="Y78" s="315">
        <f t="shared" si="22"/>
        <v>0.84767849010344076</v>
      </c>
      <c r="Z78" s="318">
        <f t="shared" si="23"/>
        <v>9.0299221751103764E-4</v>
      </c>
    </row>
    <row r="79" spans="1:29" s="3" customFormat="1">
      <c r="A79" s="8">
        <v>2</v>
      </c>
      <c r="B79" s="54" t="s">
        <v>134</v>
      </c>
      <c r="C79" s="1" t="s">
        <v>667</v>
      </c>
      <c r="D79" s="1" t="s">
        <v>205</v>
      </c>
      <c r="E79" s="1"/>
      <c r="F79" s="294">
        <v>418.37451309653005</v>
      </c>
      <c r="G79" s="192">
        <f t="shared" si="14"/>
        <v>418.37451309653005</v>
      </c>
      <c r="H79" s="194">
        <v>2128.0367685602801</v>
      </c>
      <c r="I79" s="334">
        <f t="shared" si="15"/>
        <v>890316.34689792036</v>
      </c>
      <c r="J79" s="347"/>
      <c r="K79" s="398">
        <v>309.49734556346704</v>
      </c>
      <c r="L79" s="452">
        <v>129485.80125478403</v>
      </c>
      <c r="M79" s="347"/>
      <c r="N79" s="194">
        <v>2438.2764458724232</v>
      </c>
      <c r="O79" s="334">
        <f t="shared" si="16"/>
        <v>1019802.1481527044</v>
      </c>
      <c r="P79" s="324">
        <f t="shared" si="17"/>
        <v>1019802.1481527044</v>
      </c>
      <c r="Q79" s="315">
        <f t="shared" si="18"/>
        <v>0.98048093463932429</v>
      </c>
      <c r="R79" s="315">
        <f t="shared" si="19"/>
        <v>0.86532806020242414</v>
      </c>
      <c r="S79" s="455">
        <f t="shared" si="20"/>
        <v>1.960502262211064E-4</v>
      </c>
      <c r="T79" s="318"/>
      <c r="U79" s="318"/>
      <c r="V79" s="318"/>
      <c r="W79" s="317">
        <v>1</v>
      </c>
      <c r="X79" s="315">
        <f t="shared" si="21"/>
        <v>0.97510119569211873</v>
      </c>
      <c r="Y79" s="315">
        <f t="shared" si="22"/>
        <v>0.85406143025277437</v>
      </c>
      <c r="Z79" s="318">
        <f t="shared" si="23"/>
        <v>2.6287439389606807E-4</v>
      </c>
    </row>
    <row r="80" spans="1:29" s="3" customFormat="1">
      <c r="A80" s="8">
        <v>3</v>
      </c>
      <c r="B80" s="54" t="s">
        <v>82</v>
      </c>
      <c r="C80" s="1" t="s">
        <v>667</v>
      </c>
      <c r="D80" s="1" t="s">
        <v>205</v>
      </c>
      <c r="E80" s="1"/>
      <c r="F80" s="294">
        <v>6823.2121432489412</v>
      </c>
      <c r="G80" s="192">
        <f t="shared" si="14"/>
        <v>6823.2121432489412</v>
      </c>
      <c r="H80" s="194">
        <v>1770.9684235692926</v>
      </c>
      <c r="I80" s="334">
        <f t="shared" si="15"/>
        <v>12083693.253008431</v>
      </c>
      <c r="J80" s="347"/>
      <c r="K80" s="398">
        <v>545.28040882324308</v>
      </c>
      <c r="L80" s="452">
        <v>3720563.9069584995</v>
      </c>
      <c r="M80" s="347"/>
      <c r="N80" s="194">
        <v>2594.6296893255453</v>
      </c>
      <c r="O80" s="334">
        <f t="shared" si="16"/>
        <v>15804257.159966931</v>
      </c>
      <c r="P80" s="324">
        <f t="shared" si="17"/>
        <v>15804257.159966931</v>
      </c>
      <c r="Q80" s="315">
        <f t="shared" si="18"/>
        <v>0.99406572390260639</v>
      </c>
      <c r="R80" s="315">
        <f t="shared" si="19"/>
        <v>0.95661023266442136</v>
      </c>
      <c r="S80" s="455">
        <f t="shared" si="20"/>
        <v>2.0731524875099278E-3</v>
      </c>
      <c r="T80" s="318"/>
      <c r="U80" s="50">
        <f>(0.99-Q79)/(Q80-Q79)</f>
        <v>0.70071498174833557</v>
      </c>
      <c r="V80" s="50">
        <f>100*(R79+(U80*(R80-R79)))</f>
        <v>92.929084601308105</v>
      </c>
      <c r="W80" s="317">
        <v>1</v>
      </c>
      <c r="X80" s="315">
        <f t="shared" si="21"/>
        <v>0.9924301509048884</v>
      </c>
      <c r="Y80" s="315">
        <f t="shared" si="22"/>
        <v>0.9529802526336435</v>
      </c>
      <c r="Z80" s="318">
        <f t="shared" si="23"/>
        <v>2.7811181945532689E-3</v>
      </c>
      <c r="AB80" s="50">
        <f>(0.99-X79)/(X80-X79)</f>
        <v>0.85976356479370242</v>
      </c>
      <c r="AC80" s="50">
        <f>100*(Y79+(AB80*(Y80-Y79)))</f>
        <v>93.910822960814542</v>
      </c>
    </row>
    <row r="81" spans="1:29" s="3" customFormat="1">
      <c r="A81" s="8">
        <v>1</v>
      </c>
      <c r="B81" s="54" t="s">
        <v>83</v>
      </c>
      <c r="C81" s="1" t="s">
        <v>667</v>
      </c>
      <c r="D81" s="1" t="s">
        <v>205</v>
      </c>
      <c r="E81" s="1"/>
      <c r="F81" s="294">
        <v>73.068323586118268</v>
      </c>
      <c r="G81" s="192">
        <f t="shared" si="14"/>
        <v>73.068323586118268</v>
      </c>
      <c r="H81" s="194">
        <v>2301.5880960283748</v>
      </c>
      <c r="I81" s="334">
        <f t="shared" si="15"/>
        <v>168173.18376255914</v>
      </c>
      <c r="J81" s="347"/>
      <c r="K81" s="398">
        <v>315.55221315517986</v>
      </c>
      <c r="L81" s="452">
        <v>23056.871219138447</v>
      </c>
      <c r="M81" s="347"/>
      <c r="N81" s="194">
        <f>O81/F81</f>
        <v>2617.1403091835546</v>
      </c>
      <c r="O81" s="334">
        <f t="shared" si="16"/>
        <v>191230.05498169758</v>
      </c>
      <c r="P81" s="324">
        <f t="shared" si="17"/>
        <v>191230.05498169758</v>
      </c>
      <c r="Q81" s="315">
        <f t="shared" si="18"/>
        <v>0.99421120051346057</v>
      </c>
      <c r="R81" s="315">
        <f t="shared" si="19"/>
        <v>0.95771473853787503</v>
      </c>
      <c r="S81" s="455">
        <f t="shared" si="20"/>
        <v>1.0758279519586101E-5</v>
      </c>
      <c r="T81" s="318"/>
      <c r="U81"/>
      <c r="V81" s="50">
        <f>100-V80</f>
        <v>7.0709153986918949</v>
      </c>
      <c r="W81" s="317">
        <v>1</v>
      </c>
      <c r="X81" s="315">
        <f t="shared" si="21"/>
        <v>0.99261572299033918</v>
      </c>
      <c r="Y81" s="315">
        <f t="shared" si="22"/>
        <v>0.95417716126725738</v>
      </c>
      <c r="Z81" s="318">
        <f t="shared" si="23"/>
        <v>1.4453923953696898E-5</v>
      </c>
      <c r="AB81"/>
      <c r="AC81" s="50">
        <f>100-AC80</f>
        <v>6.0891770391854578</v>
      </c>
    </row>
    <row r="82" spans="1:29" s="3" customFormat="1">
      <c r="A82" s="8">
        <v>3</v>
      </c>
      <c r="B82" s="54" t="s">
        <v>82</v>
      </c>
      <c r="C82" s="1" t="s">
        <v>611</v>
      </c>
      <c r="D82" s="1" t="s">
        <v>133</v>
      </c>
      <c r="E82" s="1"/>
      <c r="F82" s="294">
        <v>2025.1501568963802</v>
      </c>
      <c r="G82" s="192">
        <f t="shared" si="14"/>
        <v>2025.1501568963802</v>
      </c>
      <c r="H82" s="194">
        <v>403.90217358181417</v>
      </c>
      <c r="I82" s="334">
        <f t="shared" si="15"/>
        <v>817962.55019999994</v>
      </c>
      <c r="J82" s="347"/>
      <c r="K82" s="398">
        <v>1102.1634569826188</v>
      </c>
      <c r="L82" s="452">
        <v>2232046.497833807</v>
      </c>
      <c r="M82" s="347"/>
      <c r="N82" s="194">
        <v>3512.6446093500494</v>
      </c>
      <c r="O82" s="334">
        <f t="shared" si="16"/>
        <v>3050009.048033807</v>
      </c>
      <c r="P82" s="324">
        <f t="shared" si="17"/>
        <v>3050009.048033807</v>
      </c>
      <c r="Q82" s="315">
        <f t="shared" si="18"/>
        <v>0.99824320736453886</v>
      </c>
      <c r="R82" s="315">
        <f t="shared" si="19"/>
        <v>0.97533096998205238</v>
      </c>
      <c r="S82" s="455">
        <f t="shared" si="20"/>
        <v>2.3953628282539715E-4</v>
      </c>
      <c r="T82" s="318"/>
      <c r="U82" s="50">
        <f>(SUM(O80:O$83)+((1-U80)*O79))/(SUM(F80:F$83)+((1-U80)*F79))</f>
        <v>2379.0665281023512</v>
      </c>
      <c r="V82" s="50"/>
      <c r="W82" s="317">
        <v>1</v>
      </c>
      <c r="X82" s="315">
        <f t="shared" si="21"/>
        <v>0.99775900970504483</v>
      </c>
      <c r="Y82" s="315">
        <f t="shared" si="22"/>
        <v>0.97326716342482356</v>
      </c>
      <c r="Z82" s="318">
        <f t="shared" si="23"/>
        <v>3.2366913143439495E-4</v>
      </c>
      <c r="AB82" s="50">
        <f>(SUM(O81:O$83)+((1-AB80)*O80))/(SUM(F81:F$83)+((1-AB80)*F80))</f>
        <v>2470.7980862327822</v>
      </c>
      <c r="AC82" s="50"/>
    </row>
    <row r="83" spans="1:29" s="3" customFormat="1">
      <c r="A83" s="8">
        <v>3</v>
      </c>
      <c r="B83" s="54" t="s">
        <v>136</v>
      </c>
      <c r="C83" s="1" t="s">
        <v>667</v>
      </c>
      <c r="D83" s="1" t="s">
        <v>205</v>
      </c>
      <c r="E83" s="1"/>
      <c r="F83" s="334">
        <v>882.38165577173538</v>
      </c>
      <c r="G83" s="192">
        <f t="shared" si="14"/>
        <v>882.38165577173538</v>
      </c>
      <c r="H83" s="194">
        <v>3262.2829959104115</v>
      </c>
      <c r="I83" s="334">
        <f t="shared" si="15"/>
        <v>2878578.6715274062</v>
      </c>
      <c r="J83" s="347"/>
      <c r="K83" s="398">
        <v>1578.1445403057689</v>
      </c>
      <c r="L83" s="452">
        <v>1392525.7925221287</v>
      </c>
      <c r="M83" s="347"/>
      <c r="N83" s="194">
        <v>5786.2809934576844</v>
      </c>
      <c r="O83" s="334">
        <f t="shared" si="16"/>
        <v>4271104.4640495349</v>
      </c>
      <c r="P83" s="324">
        <f t="shared" si="17"/>
        <v>4271104.4640495349</v>
      </c>
      <c r="Q83" s="315">
        <f t="shared" si="18"/>
        <v>0.99999999999999944</v>
      </c>
      <c r="R83" s="315">
        <f t="shared" si="19"/>
        <v>0.99999999999999922</v>
      </c>
      <c r="S83" s="455">
        <f t="shared" si="20"/>
        <v>4.0252049895477249E-5</v>
      </c>
      <c r="T83" s="318"/>
      <c r="U83" s="318"/>
      <c r="V83" s="318"/>
      <c r="W83" s="317">
        <v>1</v>
      </c>
      <c r="X83" s="315">
        <f t="shared" si="21"/>
        <v>0.99999999999999956</v>
      </c>
      <c r="Y83" s="315">
        <f t="shared" si="22"/>
        <v>0.99999999999999967</v>
      </c>
      <c r="Z83" s="318">
        <f t="shared" si="23"/>
        <v>5.4885989819498623E-5</v>
      </c>
    </row>
    <row r="84" spans="1:29" s="3" customFormat="1">
      <c r="A84" s="9"/>
      <c r="B84" s="175"/>
      <c r="F84" s="299"/>
      <c r="G84" s="299"/>
      <c r="H84" s="176"/>
      <c r="I84" s="299"/>
      <c r="J84" s="347"/>
      <c r="K84" s="176"/>
      <c r="L84" s="451"/>
      <c r="M84" s="299"/>
      <c r="N84" s="176"/>
      <c r="O84" s="299"/>
      <c r="P84" s="380"/>
      <c r="Q84" s="8"/>
      <c r="R84" s="8"/>
      <c r="S84" s="315">
        <f>SUM(S10:S83)</f>
        <v>0.4367836993579704</v>
      </c>
      <c r="T84" s="8"/>
      <c r="U84" s="8"/>
      <c r="V84" s="8"/>
      <c r="W84" s="1"/>
      <c r="X84" s="8"/>
      <c r="Y84" s="8"/>
      <c r="Z84" s="315">
        <f>SUM(Z10:Z83)</f>
        <v>0.39950730405499335</v>
      </c>
    </row>
    <row r="85" spans="1:29" ht="16" thickBot="1">
      <c r="B85" s="1"/>
      <c r="E85" s="8" t="s">
        <v>273</v>
      </c>
      <c r="F85" s="311">
        <f>G85</f>
        <v>393746.30838799383</v>
      </c>
      <c r="G85" s="311">
        <f>SUM(G10:G83)</f>
        <v>393746.30838799383</v>
      </c>
      <c r="H85" s="316">
        <f>I85/F85</f>
        <v>311.69246959621825</v>
      </c>
      <c r="I85" s="311">
        <v>122727759.25584795</v>
      </c>
      <c r="J85" s="347"/>
      <c r="K85" s="316">
        <f>L85/F85</f>
        <v>94.076334682662846</v>
      </c>
      <c r="L85" s="448">
        <f>SUM(L10:L83)</f>
        <v>37042209.487971887</v>
      </c>
      <c r="N85" s="316">
        <f>O85/F85</f>
        <v>405.76880427888142</v>
      </c>
      <c r="O85" s="311">
        <f>SUM(P10:P83)</f>
        <v>159769968.74381995</v>
      </c>
      <c r="P85" s="155"/>
      <c r="Q85" s="77"/>
      <c r="R85" s="77"/>
      <c r="S85" s="77"/>
      <c r="T85" s="77"/>
      <c r="U85" s="8"/>
      <c r="V85" s="8"/>
      <c r="W85" s="77"/>
      <c r="X85" s="77"/>
      <c r="Y85" s="77"/>
      <c r="Z85" s="167"/>
      <c r="AA85" s="167"/>
    </row>
    <row r="86" spans="1:29" ht="16" thickBot="1">
      <c r="B86" s="1"/>
      <c r="E86" s="8" t="s">
        <v>138</v>
      </c>
      <c r="F86" s="314">
        <f>SUM(F10:F83)</f>
        <v>502268.5307081787</v>
      </c>
      <c r="G86" s="330"/>
      <c r="H86" s="316">
        <f>I86/F86</f>
        <v>270.95881468629699</v>
      </c>
      <c r="I86" s="311">
        <f>SUM(I10:I83)</f>
        <v>136094085.73491606</v>
      </c>
      <c r="J86" s="347"/>
      <c r="K86" s="316">
        <f>L86/F86</f>
        <v>73.749811551489884</v>
      </c>
      <c r="L86" s="448">
        <f>L85</f>
        <v>37042209.487971887</v>
      </c>
      <c r="M86" s="311"/>
      <c r="N86" s="316">
        <f>O86/F86</f>
        <v>344.70862623778709</v>
      </c>
      <c r="O86" s="313">
        <f>SUM(O10:O83)</f>
        <v>173136295.22288805</v>
      </c>
      <c r="P86" s="155"/>
      <c r="Q86" s="51" t="s">
        <v>416</v>
      </c>
      <c r="R86" s="371">
        <v>0.4367836993579704</v>
      </c>
      <c r="S86" s="91" t="s">
        <v>381</v>
      </c>
      <c r="T86" s="377"/>
      <c r="U86" s="8"/>
      <c r="V86" s="8"/>
      <c r="W86" s="77"/>
      <c r="X86" s="51" t="s">
        <v>416</v>
      </c>
      <c r="Y86" s="371">
        <v>0.39950730405499335</v>
      </c>
      <c r="Z86" s="91" t="s">
        <v>381</v>
      </c>
      <c r="AA86" s="167"/>
    </row>
    <row r="87" spans="1:29">
      <c r="B87" s="1"/>
      <c r="E87" s="192" t="s">
        <v>318</v>
      </c>
      <c r="F87" s="312">
        <f>'(3) household income summary'!J46</f>
        <v>502268.53070817859</v>
      </c>
      <c r="G87" s="330"/>
      <c r="H87" s="379">
        <f>I87/F87</f>
        <v>270.99493404304661</v>
      </c>
      <c r="I87" s="312">
        <f>'(3) household income summary'!Y46</f>
        <v>136112227.35116079</v>
      </c>
      <c r="J87" s="347"/>
      <c r="K87" s="312"/>
      <c r="L87" s="453">
        <f>L86</f>
        <v>37042209.487971887</v>
      </c>
      <c r="M87" s="312"/>
      <c r="N87" s="192" t="s">
        <v>318</v>
      </c>
      <c r="O87" s="312">
        <f>'(3) household income summary'!AS46</f>
        <v>173154436.83913267</v>
      </c>
      <c r="P87" s="77"/>
      <c r="Q87" s="51"/>
      <c r="R87" s="91" t="s">
        <v>88</v>
      </c>
      <c r="S87" s="91" t="s">
        <v>201</v>
      </c>
      <c r="T87" s="377"/>
      <c r="U87" s="8"/>
      <c r="V87" s="8"/>
      <c r="W87" s="77"/>
      <c r="X87" s="51"/>
      <c r="Y87" s="91" t="s">
        <v>88</v>
      </c>
      <c r="Z87" s="91" t="s">
        <v>201</v>
      </c>
      <c r="AA87" s="167"/>
    </row>
    <row r="88" spans="1:29">
      <c r="B88" s="1"/>
      <c r="F88" s="50"/>
      <c r="G88" s="50"/>
      <c r="H88" s="50"/>
      <c r="I88" s="50"/>
      <c r="J88" s="50"/>
      <c r="K88" s="50"/>
      <c r="L88" s="453"/>
      <c r="M88" s="50"/>
      <c r="N88" s="192"/>
      <c r="O88" s="50"/>
      <c r="P88" s="77"/>
      <c r="Q88" s="51" t="s">
        <v>417</v>
      </c>
      <c r="R88" s="289">
        <v>7.0709153986918949</v>
      </c>
      <c r="S88" s="400">
        <v>2379.0665281023512</v>
      </c>
      <c r="T88" s="168"/>
      <c r="U88" s="8"/>
      <c r="V88" s="8"/>
      <c r="W88" s="77"/>
      <c r="X88" s="51" t="s">
        <v>417</v>
      </c>
      <c r="Y88" s="289">
        <v>6.0891770391854578</v>
      </c>
      <c r="Z88" s="400">
        <v>2470.7980862327822</v>
      </c>
      <c r="AA88" s="167"/>
    </row>
    <row r="89" spans="1:29">
      <c r="B89" s="1"/>
      <c r="F89" s="183">
        <f>F87-F86</f>
        <v>0</v>
      </c>
      <c r="G89" s="183"/>
      <c r="H89" s="50"/>
      <c r="I89" s="183">
        <f>I87-I86</f>
        <v>18141.616244733334</v>
      </c>
      <c r="J89" s="50"/>
      <c r="K89" s="50"/>
      <c r="L89" s="453">
        <f>L87-L86</f>
        <v>0</v>
      </c>
      <c r="M89" s="50"/>
      <c r="N89" s="192" t="s">
        <v>536</v>
      </c>
      <c r="O89" s="381">
        <f>O87-O86</f>
        <v>18141.616244614124</v>
      </c>
      <c r="P89" s="77"/>
      <c r="Q89" s="51" t="s">
        <v>418</v>
      </c>
      <c r="R89" s="289">
        <v>22.190615161601542</v>
      </c>
      <c r="S89" s="400">
        <v>1272.0493004433126</v>
      </c>
      <c r="T89" s="168"/>
      <c r="U89" s="8"/>
      <c r="V89" s="8"/>
      <c r="W89" s="77"/>
      <c r="X89" s="51" t="s">
        <v>418</v>
      </c>
      <c r="Y89" s="289">
        <v>21.618824899627015</v>
      </c>
      <c r="Z89" s="400">
        <v>1754.4489458872395</v>
      </c>
      <c r="AA89" s="167"/>
    </row>
    <row r="90" spans="1:29">
      <c r="B90" s="1"/>
      <c r="F90" s="1"/>
      <c r="G90" s="1"/>
      <c r="H90" s="1"/>
      <c r="I90" s="1"/>
      <c r="K90" s="1"/>
      <c r="N90" s="1"/>
      <c r="O90" s="127" t="s">
        <v>537</v>
      </c>
      <c r="P90" s="77"/>
      <c r="Q90" s="51" t="s">
        <v>173</v>
      </c>
      <c r="R90" s="289">
        <v>30.824996298239128</v>
      </c>
      <c r="S90" s="400">
        <v>859.0393906133047</v>
      </c>
      <c r="T90" s="168"/>
      <c r="U90" s="8"/>
      <c r="V90" s="8"/>
      <c r="W90" s="77"/>
      <c r="X90" s="51" t="s">
        <v>173</v>
      </c>
      <c r="Y90" s="289">
        <v>29.616382723727767</v>
      </c>
      <c r="Z90" s="400">
        <v>1201.740420487276</v>
      </c>
      <c r="AA90" s="167"/>
    </row>
    <row r="91" spans="1:29">
      <c r="B91" s="1"/>
      <c r="F91" s="1"/>
      <c r="G91" s="1"/>
      <c r="H91" s="1"/>
      <c r="I91" s="1"/>
      <c r="K91" s="1"/>
      <c r="N91" s="1"/>
      <c r="O91" s="1"/>
      <c r="P91" s="77"/>
      <c r="Q91" s="51" t="s">
        <v>80</v>
      </c>
      <c r="R91" s="289">
        <v>47.338276824945623</v>
      </c>
      <c r="S91" s="400">
        <v>776.39031056372039</v>
      </c>
      <c r="T91" s="168"/>
      <c r="U91" s="8"/>
      <c r="V91" s="8"/>
      <c r="W91" s="77"/>
      <c r="X91" s="51" t="s">
        <v>80</v>
      </c>
      <c r="Y91" s="289">
        <v>43.848580827590041</v>
      </c>
      <c r="Z91" s="400">
        <v>889.61931058685536</v>
      </c>
      <c r="AA91" s="167"/>
    </row>
    <row r="92" spans="1:29">
      <c r="B92" s="1"/>
      <c r="F92" s="1"/>
      <c r="G92" s="1"/>
      <c r="H92" s="1"/>
      <c r="I92" s="1"/>
      <c r="K92" s="1"/>
      <c r="N92" s="1"/>
      <c r="O92" s="1"/>
      <c r="P92" s="77"/>
      <c r="Q92" s="51" t="s">
        <v>250</v>
      </c>
      <c r="R92" s="289">
        <f>100-R91-R93</f>
        <v>40.344756622375868</v>
      </c>
      <c r="S92" s="400">
        <v>369.16686628925487</v>
      </c>
      <c r="T92" s="378"/>
      <c r="U92" s="50">
        <f>(R95-(0.2*S91)-(0.4*S93))/0.4</f>
        <v>369.16686628925487</v>
      </c>
      <c r="V92" s="8"/>
      <c r="W92" s="77"/>
      <c r="X92" s="51" t="s">
        <v>250</v>
      </c>
      <c r="Y92" s="289">
        <f>100-Y91-Y93</f>
        <v>41.553627448118149</v>
      </c>
      <c r="Z92" s="400">
        <v>339.19590371980377</v>
      </c>
      <c r="AA92" s="167"/>
      <c r="AB92" s="50">
        <f>(Y95-(0.2*Z91)-(0.4*Z93))/0.4</f>
        <v>339.19590371980377</v>
      </c>
    </row>
    <row r="93" spans="1:29">
      <c r="B93" s="1"/>
      <c r="F93" s="1"/>
      <c r="G93" s="1"/>
      <c r="H93" s="1"/>
      <c r="I93" s="1"/>
      <c r="K93" s="1"/>
      <c r="N93" s="1"/>
      <c r="O93" s="1"/>
      <c r="P93" s="77"/>
      <c r="Q93" s="51" t="s">
        <v>251</v>
      </c>
      <c r="R93" s="289">
        <v>12.316966552678512</v>
      </c>
      <c r="S93" s="400">
        <v>104.40954402335255</v>
      </c>
      <c r="T93" s="378"/>
      <c r="U93" s="8"/>
      <c r="V93" s="8"/>
      <c r="W93" s="77"/>
      <c r="X93" s="51" t="s">
        <v>251</v>
      </c>
      <c r="Y93" s="289">
        <v>14.59779172429181</v>
      </c>
      <c r="Z93" s="400">
        <v>230.4164516839721</v>
      </c>
      <c r="AA93" s="77"/>
    </row>
    <row r="94" spans="1:29">
      <c r="B94" s="1"/>
      <c r="F94" s="1"/>
      <c r="G94" s="1"/>
      <c r="H94" s="1"/>
      <c r="I94" s="1"/>
      <c r="K94" s="1"/>
      <c r="N94" s="1"/>
      <c r="O94" s="1"/>
      <c r="P94" s="77"/>
      <c r="Q94" s="51"/>
      <c r="R94" s="289"/>
      <c r="S94" s="289"/>
      <c r="T94" s="378"/>
      <c r="U94" s="8"/>
      <c r="V94" s="8"/>
      <c r="W94" s="77"/>
      <c r="X94" s="51"/>
      <c r="Y94" s="289"/>
      <c r="Z94" s="400"/>
      <c r="AA94" s="167"/>
    </row>
    <row r="95" spans="1:29">
      <c r="B95" s="1"/>
      <c r="F95" s="1"/>
      <c r="G95" s="1"/>
      <c r="H95" s="1"/>
      <c r="I95" s="1"/>
      <c r="K95" s="1"/>
      <c r="N95" s="1"/>
      <c r="O95" s="1"/>
      <c r="P95" s="77"/>
      <c r="Q95" s="51" t="s">
        <v>253</v>
      </c>
      <c r="R95" s="400">
        <v>344.70862623778709</v>
      </c>
      <c r="S95" s="289"/>
      <c r="T95" s="378"/>
      <c r="U95" s="8"/>
      <c r="V95" s="8"/>
      <c r="W95" s="77"/>
      <c r="X95" s="51" t="s">
        <v>253</v>
      </c>
      <c r="Y95" s="400">
        <v>405.76880427888142</v>
      </c>
      <c r="Z95" s="51"/>
      <c r="AA95" s="77"/>
    </row>
    <row r="96" spans="1:29">
      <c r="B96" s="1"/>
      <c r="F96" s="1"/>
      <c r="G96" s="1"/>
      <c r="H96" s="1"/>
      <c r="I96" s="1"/>
      <c r="K96" s="1"/>
      <c r="N96" s="1"/>
      <c r="O96" s="1"/>
      <c r="P96" s="77"/>
      <c r="Q96" s="51" t="s">
        <v>252</v>
      </c>
      <c r="R96" s="400">
        <v>281.95544046250751</v>
      </c>
      <c r="S96" s="289"/>
      <c r="T96" s="378"/>
      <c r="U96" s="8"/>
      <c r="V96" s="8"/>
      <c r="W96" s="77"/>
      <c r="X96" s="51" t="s">
        <v>252</v>
      </c>
      <c r="Y96" s="400">
        <v>376.75943190813297</v>
      </c>
      <c r="Z96" s="51"/>
      <c r="AA96" s="77"/>
    </row>
    <row r="97" spans="2:27">
      <c r="B97" s="1"/>
      <c r="F97" s="1"/>
      <c r="G97" s="1"/>
      <c r="H97" s="1"/>
      <c r="I97" s="1"/>
      <c r="K97" s="1"/>
      <c r="N97" s="1"/>
      <c r="O97" s="1"/>
      <c r="P97" s="77"/>
      <c r="Q97" s="77"/>
      <c r="R97" s="77"/>
      <c r="S97" s="77"/>
      <c r="T97" s="77"/>
      <c r="U97" s="8"/>
      <c r="V97" s="8"/>
      <c r="W97" s="77"/>
      <c r="X97" s="77"/>
      <c r="Y97" s="77"/>
      <c r="Z97" s="168"/>
      <c r="AA97" s="77"/>
    </row>
    <row r="98" spans="2:27">
      <c r="B98" s="1"/>
      <c r="F98" s="1"/>
      <c r="G98" s="1"/>
      <c r="H98" s="1"/>
      <c r="I98" s="1"/>
      <c r="K98" s="1"/>
      <c r="N98" s="1"/>
      <c r="O98" s="1"/>
      <c r="U98" s="8"/>
      <c r="V98" s="8"/>
    </row>
    <row r="99" spans="2:27">
      <c r="B99" s="1"/>
      <c r="F99" s="1"/>
      <c r="G99" s="1"/>
      <c r="H99" s="1"/>
      <c r="I99" s="1"/>
      <c r="K99" s="1"/>
      <c r="N99" s="1"/>
      <c r="O99" s="1"/>
    </row>
    <row r="100" spans="2:27">
      <c r="B100" s="1"/>
      <c r="F100" s="1"/>
      <c r="G100" s="1"/>
      <c r="H100" s="1"/>
      <c r="I100" s="1"/>
      <c r="K100" s="1"/>
      <c r="N100" s="1"/>
      <c r="O100" s="1"/>
    </row>
    <row r="101" spans="2:27">
      <c r="B101" s="1"/>
      <c r="F101" s="1"/>
      <c r="G101" s="1"/>
      <c r="H101" s="1"/>
      <c r="I101" s="1"/>
      <c r="K101" s="1"/>
      <c r="N101" s="1"/>
      <c r="O101" s="1"/>
    </row>
    <row r="102" spans="2:27">
      <c r="B102" s="1"/>
      <c r="F102" s="1"/>
      <c r="G102" s="1"/>
      <c r="H102" s="1"/>
      <c r="I102" s="1"/>
      <c r="K102" s="1"/>
      <c r="N102" s="1"/>
      <c r="O102" s="1"/>
    </row>
    <row r="103" spans="2:27">
      <c r="B103" s="1"/>
      <c r="F103" s="1"/>
      <c r="G103" s="1"/>
      <c r="H103" s="1"/>
      <c r="I103" s="1"/>
      <c r="K103" s="1"/>
      <c r="N103" s="1"/>
      <c r="O103" s="1"/>
    </row>
    <row r="104" spans="2:27">
      <c r="B104" s="1"/>
      <c r="F104" s="1"/>
      <c r="G104" s="1"/>
      <c r="H104" s="1"/>
      <c r="I104" s="1"/>
      <c r="K104" s="1"/>
      <c r="N104" s="1"/>
      <c r="O104" s="1"/>
    </row>
    <row r="105" spans="2:27">
      <c r="B105" s="1"/>
      <c r="F105" s="1"/>
      <c r="G105" s="1"/>
      <c r="H105" s="1"/>
      <c r="I105" s="1"/>
      <c r="K105" s="1"/>
      <c r="N105" s="1"/>
      <c r="O105" s="1"/>
    </row>
    <row r="106" spans="2:27">
      <c r="B106" s="1"/>
      <c r="F106" s="1"/>
      <c r="G106" s="1"/>
      <c r="H106" s="1"/>
      <c r="I106" s="1"/>
      <c r="K106" s="1"/>
      <c r="N106" s="1"/>
      <c r="O106" s="1"/>
    </row>
    <row r="107" spans="2:27">
      <c r="B107" s="1"/>
      <c r="F107" s="1"/>
      <c r="G107" s="1"/>
      <c r="H107" s="1"/>
      <c r="I107" s="1"/>
      <c r="K107" s="1"/>
      <c r="N107" s="1"/>
      <c r="O107" s="1"/>
    </row>
    <row r="108" spans="2:27">
      <c r="B108" s="1"/>
      <c r="F108" s="1"/>
      <c r="G108" s="1"/>
      <c r="H108" s="1"/>
      <c r="I108" s="1"/>
      <c r="K108" s="1"/>
      <c r="N108" s="1"/>
      <c r="O108" s="1"/>
    </row>
    <row r="109" spans="2:27">
      <c r="B109" s="1"/>
      <c r="F109" s="1"/>
      <c r="G109" s="1"/>
      <c r="H109" s="1"/>
      <c r="I109" s="1"/>
      <c r="K109" s="1"/>
      <c r="N109" s="1"/>
      <c r="O109" s="1"/>
    </row>
    <row r="110" spans="2:27">
      <c r="B110" s="1"/>
      <c r="F110" s="206"/>
      <c r="G110" s="306"/>
      <c r="H110" s="206"/>
      <c r="I110" s="1"/>
      <c r="K110" s="1"/>
      <c r="M110" s="206"/>
      <c r="N110" s="206"/>
      <c r="O110" s="206"/>
    </row>
    <row r="111" spans="2:27">
      <c r="B111" s="1"/>
      <c r="F111" s="206"/>
      <c r="G111" s="306"/>
      <c r="H111" s="206"/>
      <c r="I111" s="1"/>
      <c r="K111" s="1"/>
      <c r="M111" s="206"/>
      <c r="N111" s="206"/>
      <c r="O111" s="206"/>
    </row>
    <row r="112" spans="2:27">
      <c r="B112" s="1"/>
      <c r="F112" s="206"/>
      <c r="G112" s="306"/>
      <c r="H112" s="206"/>
      <c r="I112" s="1"/>
      <c r="K112" s="1"/>
      <c r="M112" s="206"/>
      <c r="N112" s="206"/>
      <c r="O112" s="206"/>
    </row>
    <row r="113" spans="6:15">
      <c r="F113" s="206"/>
      <c r="G113" s="306"/>
      <c r="H113" s="206"/>
      <c r="I113" s="1"/>
      <c r="K113" s="1"/>
      <c r="M113" s="206"/>
      <c r="N113" s="206"/>
      <c r="O113" s="206"/>
    </row>
    <row r="114" spans="6:15">
      <c r="F114" s="206"/>
      <c r="G114" s="306"/>
      <c r="H114" s="206"/>
      <c r="I114" s="1"/>
      <c r="K114" s="1"/>
      <c r="M114" s="206"/>
      <c r="N114" s="206"/>
      <c r="O114" s="206"/>
    </row>
    <row r="115" spans="6:15">
      <c r="I115" s="1"/>
      <c r="K115" s="1"/>
    </row>
  </sheetData>
  <sortState ref="A10:XFD83">
    <sortCondition ref="N10:N83"/>
  </sortState>
  <phoneticPr fontId="20"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9"/>
  <sheetViews>
    <sheetView topLeftCell="A34" workbookViewId="0">
      <selection activeCell="I24" sqref="I23:I24"/>
    </sheetView>
  </sheetViews>
  <sheetFormatPr baseColWidth="10" defaultRowHeight="15" x14ac:dyDescent="0"/>
  <cols>
    <col min="1" max="2" width="10.83203125" style="1"/>
    <col min="3" max="3" width="8.1640625" style="1" customWidth="1"/>
    <col min="4" max="5" width="10.83203125" style="1"/>
    <col min="6" max="6" width="13" style="1" customWidth="1"/>
    <col min="7" max="7" width="7.33203125" style="1" customWidth="1"/>
    <col min="8" max="10" width="10.83203125" style="1"/>
    <col min="11" max="11" width="9" style="1" customWidth="1"/>
    <col min="12" max="16384" width="10.83203125" style="1"/>
  </cols>
  <sheetData>
    <row r="1" spans="2:15" ht="18">
      <c r="C1" s="133" t="s">
        <v>695</v>
      </c>
    </row>
    <row r="3" spans="2:15">
      <c r="D3" s="55" t="s">
        <v>131</v>
      </c>
      <c r="H3" s="55" t="s">
        <v>36</v>
      </c>
    </row>
    <row r="4" spans="2:15" ht="16" thickBot="1">
      <c r="C4" s="155"/>
      <c r="D4" s="77"/>
      <c r="E4" s="77"/>
      <c r="F4" s="77"/>
      <c r="G4" s="77"/>
      <c r="H4" s="77"/>
      <c r="I4" s="77"/>
      <c r="J4" s="167"/>
      <c r="K4" s="167"/>
      <c r="L4" s="3" t="s">
        <v>0</v>
      </c>
    </row>
    <row r="5" spans="2:15" ht="16" thickBot="1">
      <c r="B5" s="55" t="s">
        <v>197</v>
      </c>
      <c r="C5" s="155"/>
      <c r="D5" s="51" t="s">
        <v>416</v>
      </c>
      <c r="E5" s="371">
        <v>0.4367836993579704</v>
      </c>
      <c r="F5" s="91" t="s">
        <v>381</v>
      </c>
      <c r="G5" s="77"/>
      <c r="H5" s="1" t="s">
        <v>616</v>
      </c>
      <c r="I5" s="158">
        <v>0.39950730405499335</v>
      </c>
      <c r="J5" s="8" t="s">
        <v>617</v>
      </c>
      <c r="K5" s="167"/>
      <c r="L5" s="1" t="s">
        <v>42</v>
      </c>
      <c r="M5" s="467">
        <v>4.9767501516967938</v>
      </c>
    </row>
    <row r="6" spans="2:15">
      <c r="B6" s="55" t="s">
        <v>198</v>
      </c>
      <c r="C6" s="77"/>
      <c r="D6" s="51"/>
      <c r="E6" s="91" t="s">
        <v>88</v>
      </c>
      <c r="F6" s="91" t="s">
        <v>201</v>
      </c>
      <c r="G6" s="77"/>
      <c r="I6" s="8" t="s">
        <v>618</v>
      </c>
      <c r="J6" s="8" t="s">
        <v>619</v>
      </c>
      <c r="K6" s="167"/>
      <c r="L6" s="1" t="s">
        <v>43</v>
      </c>
      <c r="M6" s="467">
        <v>4.7313316576879147</v>
      </c>
    </row>
    <row r="7" spans="2:15">
      <c r="B7" s="55" t="s">
        <v>105</v>
      </c>
      <c r="C7" s="77"/>
      <c r="D7" s="51" t="s">
        <v>417</v>
      </c>
      <c r="E7" s="289">
        <v>7.0709153986918949</v>
      </c>
      <c r="F7" s="400">
        <v>2379.0665281023512</v>
      </c>
      <c r="G7" s="77"/>
      <c r="H7" s="1" t="s">
        <v>417</v>
      </c>
      <c r="I7" s="224">
        <v>6.0891770391854578</v>
      </c>
      <c r="J7" s="303">
        <v>2470.7980862327822</v>
      </c>
      <c r="K7" s="167"/>
    </row>
    <row r="8" spans="2:15">
      <c r="B8" s="1">
        <v>1774</v>
      </c>
      <c r="C8" s="77"/>
      <c r="D8" s="51" t="s">
        <v>418</v>
      </c>
      <c r="E8" s="289">
        <v>22.190615161601542</v>
      </c>
      <c r="F8" s="400">
        <v>1272.0493004433126</v>
      </c>
      <c r="G8" s="77"/>
      <c r="H8" s="1" t="s">
        <v>418</v>
      </c>
      <c r="I8" s="224">
        <v>21.618824899627015</v>
      </c>
      <c r="J8" s="321">
        <v>1754.4489458872395</v>
      </c>
      <c r="K8" s="167"/>
      <c r="L8" s="1" t="s">
        <v>2</v>
      </c>
    </row>
    <row r="9" spans="2:15">
      <c r="C9" s="77"/>
      <c r="D9" s="51" t="s">
        <v>173</v>
      </c>
      <c r="E9" s="289">
        <v>30.824996298239128</v>
      </c>
      <c r="F9" s="400">
        <v>859.0393906133047</v>
      </c>
      <c r="G9" s="77"/>
      <c r="H9" s="1" t="s">
        <v>173</v>
      </c>
      <c r="I9" s="224">
        <v>29.616382723727767</v>
      </c>
      <c r="J9" s="322">
        <v>1201.740420487276</v>
      </c>
      <c r="K9" s="167"/>
      <c r="L9" s="1" t="s">
        <v>1</v>
      </c>
      <c r="M9" s="468">
        <v>4.1992283157316308</v>
      </c>
    </row>
    <row r="10" spans="2:15">
      <c r="C10" s="77"/>
      <c r="D10" s="51" t="s">
        <v>80</v>
      </c>
      <c r="E10" s="289">
        <v>47.338276824945623</v>
      </c>
      <c r="F10" s="400">
        <v>776.39031056372039</v>
      </c>
      <c r="G10" s="77"/>
      <c r="H10" s="1" t="s">
        <v>80</v>
      </c>
      <c r="I10" s="224">
        <v>43.848580827590041</v>
      </c>
      <c r="J10" s="323">
        <v>889.61931058685536</v>
      </c>
      <c r="K10" s="167"/>
      <c r="L10" s="1" t="s">
        <v>3</v>
      </c>
      <c r="M10" s="468">
        <v>4.0549647669934163</v>
      </c>
    </row>
    <row r="11" spans="2:15">
      <c r="C11" s="77"/>
      <c r="D11" s="51" t="s">
        <v>250</v>
      </c>
      <c r="E11" s="289">
        <f>100-E10-E12</f>
        <v>40.344756622375868</v>
      </c>
      <c r="F11" s="400">
        <v>369.16686628925487</v>
      </c>
      <c r="G11" s="77"/>
      <c r="H11" s="1" t="s">
        <v>250</v>
      </c>
      <c r="I11" s="224">
        <v>41.553627448118149</v>
      </c>
      <c r="J11" s="327">
        <v>339.19590371980377</v>
      </c>
      <c r="K11" s="167"/>
    </row>
    <row r="12" spans="2:15">
      <c r="C12" s="77"/>
      <c r="D12" s="51" t="s">
        <v>251</v>
      </c>
      <c r="E12" s="289">
        <v>12.316966552678512</v>
      </c>
      <c r="F12" s="400">
        <v>104.40954402335255</v>
      </c>
      <c r="G12" s="77"/>
      <c r="H12" s="1" t="s">
        <v>251</v>
      </c>
      <c r="I12" s="224">
        <v>14.59779172429181</v>
      </c>
      <c r="J12" s="326">
        <v>230.4164516839721</v>
      </c>
      <c r="K12" s="77"/>
    </row>
    <row r="13" spans="2:15">
      <c r="C13" s="77"/>
      <c r="D13" s="51"/>
      <c r="E13" s="289"/>
      <c r="F13" s="289"/>
      <c r="G13" s="77"/>
      <c r="I13" s="224"/>
      <c r="J13" s="303"/>
      <c r="K13" s="167"/>
    </row>
    <row r="14" spans="2:15">
      <c r="C14" s="77"/>
      <c r="D14" s="51" t="s">
        <v>253</v>
      </c>
      <c r="E14" s="400">
        <v>344.70862623778709</v>
      </c>
      <c r="F14" s="289"/>
      <c r="G14" s="77"/>
      <c r="H14" s="1" t="s">
        <v>577</v>
      </c>
      <c r="I14" s="319">
        <v>405.76880427888142</v>
      </c>
      <c r="K14" s="77"/>
      <c r="L14" s="3" t="s">
        <v>9</v>
      </c>
    </row>
    <row r="15" spans="2:15">
      <c r="C15" s="77"/>
      <c r="D15" s="51" t="s">
        <v>252</v>
      </c>
      <c r="E15" s="400">
        <v>281.95544046250751</v>
      </c>
      <c r="F15" s="289"/>
      <c r="G15" s="77"/>
      <c r="H15" s="1" t="s">
        <v>575</v>
      </c>
      <c r="I15" s="320">
        <v>376.75943190813297</v>
      </c>
      <c r="K15" s="77"/>
      <c r="L15" s="9" t="s">
        <v>4</v>
      </c>
      <c r="M15" s="9" t="s">
        <v>5</v>
      </c>
      <c r="N15" s="9" t="s">
        <v>109</v>
      </c>
      <c r="O15" s="9" t="s">
        <v>6</v>
      </c>
    </row>
    <row r="16" spans="2:15">
      <c r="C16" s="77"/>
      <c r="D16" s="77"/>
      <c r="E16" s="77"/>
      <c r="F16" s="77"/>
      <c r="G16" s="77"/>
      <c r="H16" s="77"/>
      <c r="I16" s="77"/>
      <c r="J16" s="168"/>
      <c r="K16" s="77"/>
      <c r="L16" s="1">
        <v>50.08</v>
      </c>
      <c r="M16" s="1">
        <v>59.79</v>
      </c>
      <c r="N16" s="1">
        <v>85.62</v>
      </c>
      <c r="O16" s="1" t="s">
        <v>7</v>
      </c>
    </row>
    <row r="17" spans="2:15">
      <c r="L17" s="1">
        <v>11.28</v>
      </c>
      <c r="M17" s="1">
        <v>13.47</v>
      </c>
      <c r="N17" s="1">
        <v>19.28</v>
      </c>
      <c r="O17" s="1" t="s">
        <v>8</v>
      </c>
    </row>
    <row r="18" spans="2:15" ht="16" thickBot="1">
      <c r="C18" s="155"/>
      <c r="D18" s="77"/>
      <c r="E18" s="77"/>
      <c r="F18" s="77"/>
      <c r="G18" s="77"/>
    </row>
    <row r="19" spans="2:15" ht="16" thickBot="1">
      <c r="B19" s="55" t="s">
        <v>384</v>
      </c>
      <c r="C19" s="155"/>
      <c r="D19" s="1" t="s">
        <v>616</v>
      </c>
      <c r="E19" s="158">
        <v>0.35360819005002542</v>
      </c>
      <c r="F19" s="8" t="s">
        <v>617</v>
      </c>
      <c r="G19" s="77"/>
      <c r="L19" s="1" t="s">
        <v>10</v>
      </c>
    </row>
    <row r="20" spans="2:15">
      <c r="B20" s="55" t="s">
        <v>345</v>
      </c>
      <c r="C20" s="77"/>
      <c r="E20" s="8" t="s">
        <v>618</v>
      </c>
      <c r="F20" s="8" t="s">
        <v>619</v>
      </c>
      <c r="G20" s="77"/>
      <c r="L20" s="1">
        <v>1759</v>
      </c>
      <c r="M20" s="469">
        <v>10.34</v>
      </c>
    </row>
    <row r="21" spans="2:15">
      <c r="B21" s="55">
        <v>1774</v>
      </c>
      <c r="C21" s="77"/>
      <c r="D21" s="1" t="s">
        <v>417</v>
      </c>
      <c r="E21" s="224">
        <v>3.8105420913802277</v>
      </c>
      <c r="F21" s="303">
        <v>1058.9808745445005</v>
      </c>
      <c r="G21" s="77"/>
      <c r="L21" s="1">
        <v>1801</v>
      </c>
      <c r="M21" s="469">
        <v>22.33</v>
      </c>
    </row>
    <row r="22" spans="2:15">
      <c r="C22" s="77"/>
      <c r="D22" s="1" t="s">
        <v>418</v>
      </c>
      <c r="E22" s="224">
        <v>11.354089424617285</v>
      </c>
      <c r="F22" s="303">
        <v>631.07889954745997</v>
      </c>
      <c r="G22" s="77"/>
    </row>
    <row r="23" spans="2:15">
      <c r="C23" s="77"/>
      <c r="D23" s="1" t="s">
        <v>173</v>
      </c>
      <c r="E23" s="224">
        <v>20.102667506765215</v>
      </c>
      <c r="F23" s="303">
        <v>558.66960412659864</v>
      </c>
      <c r="G23" s="77"/>
    </row>
    <row r="24" spans="2:15">
      <c r="C24" s="77"/>
      <c r="D24" s="1" t="s">
        <v>80</v>
      </c>
      <c r="E24" s="224">
        <v>35.66333716829763</v>
      </c>
      <c r="F24" s="303">
        <v>495.55668298600557</v>
      </c>
      <c r="G24" s="77"/>
    </row>
    <row r="25" spans="2:15">
      <c r="C25" s="77"/>
      <c r="D25" s="1" t="s">
        <v>250</v>
      </c>
      <c r="E25" s="224">
        <v>52.508669736920886</v>
      </c>
      <c r="F25" s="303">
        <v>364.81474069632412</v>
      </c>
      <c r="G25" s="77"/>
    </row>
    <row r="26" spans="2:15">
      <c r="C26" s="77"/>
      <c r="D26" s="1" t="s">
        <v>251</v>
      </c>
      <c r="E26" s="224">
        <v>11.827993094781482</v>
      </c>
      <c r="F26" s="303">
        <v>82.177405282780526</v>
      </c>
      <c r="G26" s="77"/>
    </row>
    <row r="27" spans="2:15">
      <c r="C27" s="77"/>
      <c r="E27" s="224"/>
      <c r="F27" s="224"/>
      <c r="G27" s="77"/>
    </row>
    <row r="28" spans="2:15">
      <c r="C28" s="77"/>
      <c r="D28" s="1" t="s">
        <v>577</v>
      </c>
      <c r="E28" s="224">
        <v>277.90819498884298</v>
      </c>
      <c r="G28" s="77"/>
    </row>
    <row r="29" spans="2:15">
      <c r="C29" s="77"/>
      <c r="D29" s="1" t="s">
        <v>575</v>
      </c>
      <c r="E29" s="224">
        <v>370.53653864659856</v>
      </c>
      <c r="G29" s="77"/>
    </row>
    <row r="30" spans="2:15">
      <c r="C30" s="77"/>
      <c r="D30" s="77"/>
      <c r="E30" s="77"/>
      <c r="F30" s="77"/>
      <c r="G30" s="77"/>
    </row>
    <row r="31" spans="2:15">
      <c r="D31" s="223" t="s">
        <v>397</v>
      </c>
      <c r="E31" s="303"/>
    </row>
    <row r="33" spans="2:11" ht="16" thickBot="1">
      <c r="C33" s="155"/>
      <c r="D33" s="77"/>
      <c r="E33" s="77"/>
      <c r="F33" s="77"/>
      <c r="G33" s="77"/>
    </row>
    <row r="34" spans="2:11" ht="16" thickBot="1">
      <c r="B34" s="55" t="s">
        <v>106</v>
      </c>
      <c r="C34" s="155"/>
      <c r="D34" s="1" t="s">
        <v>616</v>
      </c>
      <c r="E34" s="158">
        <v>0.38064557047168346</v>
      </c>
      <c r="F34" s="8" t="s">
        <v>617</v>
      </c>
      <c r="G34" s="77"/>
    </row>
    <row r="35" spans="2:11">
      <c r="B35" s="55" t="s">
        <v>300</v>
      </c>
      <c r="C35" s="77"/>
      <c r="E35" s="8" t="s">
        <v>618</v>
      </c>
      <c r="F35" s="8" t="s">
        <v>619</v>
      </c>
      <c r="G35" s="77"/>
    </row>
    <row r="36" spans="2:11">
      <c r="B36" s="55" t="s">
        <v>15</v>
      </c>
      <c r="C36" s="77"/>
      <c r="D36" s="1" t="s">
        <v>417</v>
      </c>
      <c r="E36" s="224">
        <v>6.4334297670895779</v>
      </c>
      <c r="F36" s="303">
        <v>1861.8543183278152</v>
      </c>
      <c r="G36" s="77"/>
    </row>
    <row r="37" spans="2:11">
      <c r="B37" s="55">
        <v>1774</v>
      </c>
      <c r="C37" s="77"/>
      <c r="D37" s="1" t="s">
        <v>418</v>
      </c>
      <c r="E37" s="224">
        <v>19.310401724994435</v>
      </c>
      <c r="F37" s="303">
        <v>1117.6979042887724</v>
      </c>
      <c r="G37" s="77"/>
    </row>
    <row r="38" spans="2:11">
      <c r="C38" s="77"/>
      <c r="D38" s="1" t="s">
        <v>173</v>
      </c>
      <c r="E38" s="224">
        <v>28.275018757310193</v>
      </c>
      <c r="F38" s="303">
        <v>818.28772023592899</v>
      </c>
      <c r="G38" s="77"/>
    </row>
    <row r="39" spans="2:11">
      <c r="C39" s="77"/>
      <c r="D39" s="1" t="s">
        <v>80</v>
      </c>
      <c r="E39" s="224">
        <v>43.791443291950728</v>
      </c>
      <c r="F39" s="303">
        <v>633.66890407361507</v>
      </c>
      <c r="G39" s="77"/>
    </row>
    <row r="40" spans="2:11">
      <c r="C40" s="77"/>
      <c r="D40" s="1" t="s">
        <v>250</v>
      </c>
      <c r="E40" s="224">
        <v>40.096337966094055</v>
      </c>
      <c r="F40" s="308">
        <v>290.10008150393969</v>
      </c>
      <c r="G40" s="77"/>
    </row>
    <row r="41" spans="2:11">
      <c r="C41" s="77"/>
      <c r="D41" s="1" t="s">
        <v>251</v>
      </c>
      <c r="E41" s="224">
        <v>16.112218741955214</v>
      </c>
      <c r="F41" s="303">
        <v>116.57313877898299</v>
      </c>
      <c r="G41" s="77"/>
    </row>
    <row r="42" spans="2:11">
      <c r="C42" s="77"/>
      <c r="E42" s="224"/>
      <c r="F42" s="224"/>
      <c r="G42" s="77"/>
    </row>
    <row r="43" spans="2:11">
      <c r="C43" s="77"/>
      <c r="D43" s="1" t="s">
        <v>577</v>
      </c>
      <c r="E43" s="303">
        <v>289.40306892789209</v>
      </c>
      <c r="F43" s="224"/>
      <c r="G43" s="77"/>
    </row>
    <row r="44" spans="2:11">
      <c r="C44" s="77"/>
      <c r="D44" s="1" t="s">
        <v>575</v>
      </c>
      <c r="E44" s="303">
        <v>273.59431087753222</v>
      </c>
      <c r="F44" s="224"/>
      <c r="G44" s="77"/>
    </row>
    <row r="45" spans="2:11">
      <c r="C45" s="77"/>
      <c r="D45" s="77"/>
      <c r="E45" s="77"/>
      <c r="F45" s="77"/>
      <c r="G45" s="77"/>
    </row>
    <row r="47" spans="2:11" ht="16" thickBot="1">
      <c r="C47" s="155"/>
      <c r="D47" s="77"/>
      <c r="E47" s="77"/>
      <c r="F47" s="77"/>
      <c r="G47" s="77"/>
      <c r="H47" s="77"/>
      <c r="I47" s="77"/>
      <c r="J47" s="167"/>
      <c r="K47" s="167"/>
    </row>
    <row r="48" spans="2:11" ht="16" thickBot="1">
      <c r="B48" s="55" t="s">
        <v>66</v>
      </c>
      <c r="C48" s="155"/>
      <c r="D48" s="1" t="s">
        <v>616</v>
      </c>
      <c r="E48" s="158">
        <v>0.46431223118746756</v>
      </c>
      <c r="F48" s="8" t="s">
        <v>617</v>
      </c>
      <c r="G48" s="77"/>
      <c r="H48" s="1" t="s">
        <v>616</v>
      </c>
      <c r="I48" s="158">
        <v>0.32841746309707204</v>
      </c>
      <c r="J48" s="8" t="s">
        <v>617</v>
      </c>
      <c r="K48" s="167"/>
    </row>
    <row r="49" spans="2:11">
      <c r="B49" s="55" t="s">
        <v>309</v>
      </c>
      <c r="C49" s="77"/>
      <c r="E49" s="8" t="s">
        <v>618</v>
      </c>
      <c r="F49" s="8" t="s">
        <v>619</v>
      </c>
      <c r="G49" s="77"/>
      <c r="I49" s="8" t="s">
        <v>618</v>
      </c>
      <c r="J49" s="8" t="s">
        <v>619</v>
      </c>
      <c r="K49" s="167"/>
    </row>
    <row r="50" spans="2:11">
      <c r="B50" s="55">
        <v>1774</v>
      </c>
      <c r="C50" s="77"/>
      <c r="D50" s="1" t="s">
        <v>417</v>
      </c>
      <c r="E50" s="347">
        <v>7.8849703581682036</v>
      </c>
      <c r="F50" s="286">
        <v>3243.4298803745137</v>
      </c>
      <c r="G50" s="77"/>
      <c r="H50" s="1" t="s">
        <v>417</v>
      </c>
      <c r="I50" s="347">
        <v>6.3080392258834053</v>
      </c>
      <c r="J50" s="354">
        <v>3909.6349419736293</v>
      </c>
      <c r="K50" s="167"/>
    </row>
    <row r="51" spans="2:11">
      <c r="C51" s="77"/>
      <c r="D51" s="1" t="s">
        <v>418</v>
      </c>
      <c r="E51" s="347">
        <v>25.592808772569413</v>
      </c>
      <c r="F51" s="354">
        <v>2105.486182574497</v>
      </c>
      <c r="G51" s="77"/>
      <c r="H51" s="1" t="s">
        <v>418</v>
      </c>
      <c r="I51" s="347">
        <v>21.256737719214129</v>
      </c>
      <c r="J51" s="354">
        <v>2634.9260543087566</v>
      </c>
      <c r="K51" s="167"/>
    </row>
    <row r="52" spans="2:11">
      <c r="C52" s="77"/>
      <c r="D52" s="1" t="s">
        <v>173</v>
      </c>
      <c r="E52" s="289">
        <v>34.28373317352991</v>
      </c>
      <c r="F52" s="308">
        <v>1410.2384604480296</v>
      </c>
      <c r="G52" s="77"/>
      <c r="H52" s="1" t="s">
        <v>173</v>
      </c>
      <c r="I52" s="347">
        <v>30.813745212950195</v>
      </c>
      <c r="J52" s="354">
        <v>1909.7930539699989</v>
      </c>
      <c r="K52" s="167"/>
    </row>
    <row r="53" spans="2:11">
      <c r="C53" s="77"/>
      <c r="D53" s="1" t="s">
        <v>80</v>
      </c>
      <c r="E53" s="347">
        <v>49.13706191914595</v>
      </c>
      <c r="F53" s="354">
        <v>1010.6101077303011</v>
      </c>
      <c r="G53" s="77"/>
      <c r="H53" s="1" t="s">
        <v>80</v>
      </c>
      <c r="I53" s="347">
        <v>42.349834107221426</v>
      </c>
      <c r="J53" s="347">
        <v>1312.39189614578</v>
      </c>
      <c r="K53" s="167"/>
    </row>
    <row r="54" spans="2:11">
      <c r="C54" s="77"/>
      <c r="D54" s="1" t="s">
        <v>250</v>
      </c>
      <c r="E54" s="347">
        <v>39.436835774724941</v>
      </c>
      <c r="F54" s="354">
        <v>405.55197333957443</v>
      </c>
      <c r="G54" s="77">
        <f>((E57/0.4)-(F53*E53/100)-(F55*E55/100))</f>
        <v>518.34836859911752</v>
      </c>
      <c r="H54" s="1" t="s">
        <v>250</v>
      </c>
      <c r="I54" s="347">
        <v>35.732284881502856</v>
      </c>
      <c r="J54" s="347">
        <v>693.93255750571029</v>
      </c>
      <c r="K54" s="167"/>
    </row>
    <row r="55" spans="2:11">
      <c r="C55" s="77"/>
      <c r="D55" s="1" t="s">
        <v>251</v>
      </c>
      <c r="E55" s="347">
        <v>11.426102306129108</v>
      </c>
      <c r="F55" s="354">
        <v>117.50127125565106</v>
      </c>
      <c r="G55" s="77"/>
      <c r="H55" s="1" t="s">
        <v>251</v>
      </c>
      <c r="I55" s="347">
        <v>21.917881011275718</v>
      </c>
      <c r="J55" s="347">
        <v>199.33670935360388</v>
      </c>
      <c r="K55" s="77"/>
    </row>
    <row r="56" spans="2:11">
      <c r="C56" s="77"/>
      <c r="E56" s="347"/>
      <c r="F56" s="347"/>
      <c r="G56" s="77"/>
      <c r="I56" s="347"/>
      <c r="J56" s="354"/>
      <c r="K56" s="167"/>
    </row>
    <row r="57" spans="2:11">
      <c r="C57" s="77"/>
      <c r="D57" s="1" t="s">
        <v>577</v>
      </c>
      <c r="E57" s="354">
        <v>411.34331938415045</v>
      </c>
      <c r="F57" s="347"/>
      <c r="G57" s="77"/>
      <c r="H57" s="1" t="s">
        <v>577</v>
      </c>
      <c r="I57" s="354">
        <v>619.78608597288166</v>
      </c>
      <c r="K57" s="77"/>
    </row>
    <row r="58" spans="2:11">
      <c r="C58" s="77"/>
      <c r="D58" s="1" t="s">
        <v>575</v>
      </c>
      <c r="E58" s="354">
        <v>321.52862297500957</v>
      </c>
      <c r="F58" s="347"/>
      <c r="G58" s="77"/>
      <c r="H58" s="1" t="s">
        <v>575</v>
      </c>
      <c r="I58" s="354">
        <v>584.73531304060862</v>
      </c>
      <c r="K58" s="77"/>
    </row>
    <row r="59" spans="2:11">
      <c r="C59" s="77"/>
      <c r="D59" s="77"/>
      <c r="E59" s="77"/>
      <c r="F59" s="77"/>
      <c r="G59" s="77"/>
      <c r="H59" s="77"/>
      <c r="I59" s="77"/>
      <c r="J59" s="168"/>
      <c r="K59" s="77"/>
    </row>
  </sheetData>
  <phoneticPr fontId="20" type="noConversion"/>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Sources &amp; notes</vt:lpstr>
      <vt:lpstr>(1) Household LF size hints</vt:lpstr>
      <vt:lpstr>(2) Homes for non-HH earners</vt:lpstr>
      <vt:lpstr>(3) household income summary</vt:lpstr>
      <vt:lpstr>(4) New Eng size dist</vt:lpstr>
      <vt:lpstr>(5) Mid Cols size dist</vt:lpstr>
      <vt:lpstr>(6) South size dist</vt:lpstr>
      <vt:lpstr>(7) All 13, size dist</vt:lpstr>
      <vt:lpstr>(8) inequality summary</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2014-04-25T21:21:00Z</dcterms:modified>
</cp:coreProperties>
</file>