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-20" windowWidth="20240" windowHeight="14820" activeTab="2"/>
  </bookViews>
  <sheets>
    <sheet name="Regional Income 1860 by type" sheetId="2" r:id="rId1"/>
    <sheet name="Regional Income 1870 by type" sheetId="1" r:id="rId2"/>
    <sheet name="1860 vs 1870 tot incomes" sheetId="3" r:id="rId3"/>
    <sheet name="Prices, Coelho-Shepherd" sheetId="5" r:id="rId4"/>
    <sheet name="Prices SF 1848-1870" sheetId="4" r:id="rId5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W44" i="3"/>
  <c r="X44"/>
  <c r="T44"/>
  <c r="U44"/>
  <c r="U45"/>
  <c r="S44"/>
  <c r="S45"/>
  <c r="R44"/>
  <c r="O44"/>
  <c r="P44"/>
  <c r="P45"/>
  <c r="M44"/>
  <c r="N44"/>
  <c r="N45"/>
  <c r="J44"/>
  <c r="K44"/>
  <c r="K45"/>
  <c r="I45"/>
  <c r="I44"/>
  <c r="H44"/>
  <c r="G45"/>
  <c r="G44"/>
  <c r="F44"/>
  <c r="D45"/>
  <c r="D44"/>
  <c r="C44"/>
  <c r="H51"/>
  <c r="H52"/>
  <c r="H54"/>
  <c r="H58"/>
  <c r="H59"/>
  <c r="H64"/>
  <c r="F18"/>
  <c r="F58"/>
  <c r="F19"/>
  <c r="F59"/>
  <c r="F64"/>
  <c r="J64"/>
  <c r="G11"/>
  <c r="G30"/>
  <c r="G51"/>
  <c r="G12"/>
  <c r="G31"/>
  <c r="G52"/>
  <c r="G14"/>
  <c r="G33"/>
  <c r="G54"/>
  <c r="G15"/>
  <c r="G34"/>
  <c r="G55"/>
  <c r="G63"/>
  <c r="G18"/>
  <c r="G37"/>
  <c r="G58"/>
  <c r="G19"/>
  <c r="G38"/>
  <c r="G59"/>
  <c r="G64"/>
  <c r="F11"/>
  <c r="F51"/>
  <c r="F12"/>
  <c r="F52"/>
  <c r="F14"/>
  <c r="F54"/>
  <c r="F15"/>
  <c r="G13"/>
  <c r="G16"/>
  <c r="G17"/>
  <c r="G22"/>
  <c r="F13"/>
  <c r="F16"/>
  <c r="F17"/>
  <c r="F22"/>
  <c r="I13"/>
  <c r="I16"/>
  <c r="I17"/>
  <c r="I22"/>
  <c r="H13"/>
  <c r="H16"/>
  <c r="H17"/>
  <c r="H22"/>
  <c r="G23"/>
  <c r="F23"/>
  <c r="I11"/>
  <c r="I12"/>
  <c r="I14"/>
  <c r="I15"/>
  <c r="I23"/>
  <c r="H11"/>
  <c r="H12"/>
  <c r="H14"/>
  <c r="H15"/>
  <c r="H23"/>
  <c r="G24"/>
  <c r="F24"/>
  <c r="I18"/>
  <c r="I19"/>
  <c r="I24"/>
  <c r="H18"/>
  <c r="H19"/>
  <c r="H24"/>
  <c r="J24"/>
  <c r="K24"/>
  <c r="J23"/>
  <c r="K23"/>
  <c r="G32"/>
  <c r="G35"/>
  <c r="G36"/>
  <c r="G43"/>
  <c r="I32"/>
  <c r="I35"/>
  <c r="I36"/>
  <c r="I43"/>
  <c r="K43"/>
  <c r="AJ5"/>
  <c r="AJ6"/>
  <c r="AJ8"/>
  <c r="AJ9"/>
  <c r="AJ10"/>
  <c r="AJ4"/>
  <c r="K22"/>
  <c r="J22"/>
  <c r="I39"/>
  <c r="I42"/>
  <c r="G53"/>
  <c r="G56"/>
  <c r="G57"/>
  <c r="G62"/>
  <c r="I30"/>
  <c r="I31"/>
  <c r="I33"/>
  <c r="I34"/>
  <c r="I37"/>
  <c r="I38"/>
  <c r="I41"/>
  <c r="G61"/>
  <c r="I21"/>
  <c r="G21"/>
  <c r="K21"/>
  <c r="G39"/>
  <c r="G42"/>
  <c r="K42"/>
  <c r="K39"/>
  <c r="J59"/>
  <c r="J58"/>
  <c r="J54"/>
  <c r="J52"/>
  <c r="J51"/>
  <c r="G41"/>
  <c r="K41"/>
  <c r="K38"/>
  <c r="K37"/>
  <c r="K36"/>
  <c r="K35"/>
  <c r="K34"/>
  <c r="K33"/>
  <c r="K32"/>
  <c r="K31"/>
  <c r="K30"/>
  <c r="H21"/>
  <c r="F21"/>
  <c r="J21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C18"/>
  <c r="C58"/>
  <c r="M58"/>
  <c r="R58"/>
  <c r="D18"/>
  <c r="D37"/>
  <c r="D58"/>
  <c r="N58"/>
  <c r="S58"/>
  <c r="W58"/>
  <c r="Z58"/>
  <c r="O58"/>
  <c r="T58"/>
  <c r="I58"/>
  <c r="P58"/>
  <c r="U58"/>
  <c r="X58"/>
  <c r="AA58"/>
  <c r="C19"/>
  <c r="C59"/>
  <c r="M59"/>
  <c r="R59"/>
  <c r="D19"/>
  <c r="D38"/>
  <c r="D59"/>
  <c r="N59"/>
  <c r="S59"/>
  <c r="W59"/>
  <c r="Z59"/>
  <c r="O59"/>
  <c r="T59"/>
  <c r="I59"/>
  <c r="P59"/>
  <c r="U59"/>
  <c r="X59"/>
  <c r="AA59"/>
  <c r="C12"/>
  <c r="C52"/>
  <c r="M52"/>
  <c r="R52"/>
  <c r="D12"/>
  <c r="D31"/>
  <c r="D52"/>
  <c r="N52"/>
  <c r="S52"/>
  <c r="W52"/>
  <c r="Z52"/>
  <c r="O52"/>
  <c r="T52"/>
  <c r="I52"/>
  <c r="P52"/>
  <c r="U52"/>
  <c r="X52"/>
  <c r="AA52"/>
  <c r="C13"/>
  <c r="C32"/>
  <c r="C53"/>
  <c r="F32"/>
  <c r="F53"/>
  <c r="M53"/>
  <c r="R53"/>
  <c r="D13"/>
  <c r="D32"/>
  <c r="D53"/>
  <c r="N53"/>
  <c r="S53"/>
  <c r="W53"/>
  <c r="Z53"/>
  <c r="H53"/>
  <c r="O53"/>
  <c r="T53"/>
  <c r="I53"/>
  <c r="P53"/>
  <c r="U53"/>
  <c r="X53"/>
  <c r="AA53"/>
  <c r="C14"/>
  <c r="C54"/>
  <c r="M54"/>
  <c r="R54"/>
  <c r="D14"/>
  <c r="D33"/>
  <c r="D54"/>
  <c r="N54"/>
  <c r="S54"/>
  <c r="W54"/>
  <c r="Z54"/>
  <c r="O54"/>
  <c r="T54"/>
  <c r="I54"/>
  <c r="P54"/>
  <c r="U54"/>
  <c r="X54"/>
  <c r="AA54"/>
  <c r="C15"/>
  <c r="C34"/>
  <c r="C55"/>
  <c r="F34"/>
  <c r="F55"/>
  <c r="M55"/>
  <c r="R55"/>
  <c r="D15"/>
  <c r="D34"/>
  <c r="D55"/>
  <c r="N55"/>
  <c r="S55"/>
  <c r="W55"/>
  <c r="Z55"/>
  <c r="H55"/>
  <c r="O55"/>
  <c r="T55"/>
  <c r="I55"/>
  <c r="P55"/>
  <c r="U55"/>
  <c r="X55"/>
  <c r="AA55"/>
  <c r="F35"/>
  <c r="F56"/>
  <c r="C16"/>
  <c r="C35"/>
  <c r="C56"/>
  <c r="M56"/>
  <c r="R56"/>
  <c r="D16"/>
  <c r="D35"/>
  <c r="D56"/>
  <c r="N56"/>
  <c r="S56"/>
  <c r="W56"/>
  <c r="Z56"/>
  <c r="H56"/>
  <c r="O56"/>
  <c r="T56"/>
  <c r="I56"/>
  <c r="P56"/>
  <c r="U56"/>
  <c r="X56"/>
  <c r="AA56"/>
  <c r="F36"/>
  <c r="F57"/>
  <c r="C17"/>
  <c r="C36"/>
  <c r="C57"/>
  <c r="M57"/>
  <c r="R57"/>
  <c r="D17"/>
  <c r="D36"/>
  <c r="D57"/>
  <c r="N57"/>
  <c r="S57"/>
  <c r="W57"/>
  <c r="Z57"/>
  <c r="H57"/>
  <c r="O57"/>
  <c r="T57"/>
  <c r="I57"/>
  <c r="P57"/>
  <c r="U57"/>
  <c r="X57"/>
  <c r="AA57"/>
  <c r="C11"/>
  <c r="C51"/>
  <c r="O51"/>
  <c r="T51"/>
  <c r="D11"/>
  <c r="D30"/>
  <c r="D51"/>
  <c r="I51"/>
  <c r="P51"/>
  <c r="U51"/>
  <c r="X51"/>
  <c r="AA51"/>
  <c r="M51"/>
  <c r="R51"/>
  <c r="N51"/>
  <c r="S51"/>
  <c r="W51"/>
  <c r="Z51"/>
  <c r="F62"/>
  <c r="C62"/>
  <c r="M62"/>
  <c r="R62"/>
  <c r="D62"/>
  <c r="N62"/>
  <c r="S62"/>
  <c r="W62"/>
  <c r="Z62"/>
  <c r="H62"/>
  <c r="O62"/>
  <c r="T62"/>
  <c r="I62"/>
  <c r="P62"/>
  <c r="U62"/>
  <c r="X62"/>
  <c r="AA62"/>
  <c r="F63"/>
  <c r="C63"/>
  <c r="M63"/>
  <c r="R63"/>
  <c r="D63"/>
  <c r="N63"/>
  <c r="S63"/>
  <c r="W63"/>
  <c r="Z63"/>
  <c r="H63"/>
  <c r="O63"/>
  <c r="T63"/>
  <c r="I63"/>
  <c r="P63"/>
  <c r="U63"/>
  <c r="X63"/>
  <c r="AA63"/>
  <c r="C64"/>
  <c r="M64"/>
  <c r="R64"/>
  <c r="D64"/>
  <c r="N64"/>
  <c r="S64"/>
  <c r="W64"/>
  <c r="Z64"/>
  <c r="O64"/>
  <c r="T64"/>
  <c r="I64"/>
  <c r="P64"/>
  <c r="U64"/>
  <c r="X64"/>
  <c r="AA64"/>
  <c r="C61"/>
  <c r="H61"/>
  <c r="O61"/>
  <c r="T61"/>
  <c r="D61"/>
  <c r="I61"/>
  <c r="P61"/>
  <c r="U61"/>
  <c r="X61"/>
  <c r="AA61"/>
  <c r="F61"/>
  <c r="M61"/>
  <c r="R61"/>
  <c r="N61"/>
  <c r="S61"/>
  <c r="W61"/>
  <c r="Z61"/>
  <c r="J63"/>
  <c r="K63"/>
  <c r="K64"/>
  <c r="C22"/>
  <c r="M22"/>
  <c r="R22"/>
  <c r="D22"/>
  <c r="N22"/>
  <c r="S22"/>
  <c r="W22"/>
  <c r="O22"/>
  <c r="T22"/>
  <c r="P22"/>
  <c r="U22"/>
  <c r="X22"/>
  <c r="C23"/>
  <c r="M23"/>
  <c r="R23"/>
  <c r="D23"/>
  <c r="N23"/>
  <c r="S23"/>
  <c r="W23"/>
  <c r="O23"/>
  <c r="T23"/>
  <c r="P23"/>
  <c r="U23"/>
  <c r="X23"/>
  <c r="C24"/>
  <c r="M24"/>
  <c r="R24"/>
  <c r="D24"/>
  <c r="N24"/>
  <c r="S24"/>
  <c r="W24"/>
  <c r="O24"/>
  <c r="T24"/>
  <c r="P24"/>
  <c r="U24"/>
  <c r="X24"/>
  <c r="K62"/>
  <c r="K61"/>
  <c r="K59"/>
  <c r="K58"/>
  <c r="K57"/>
  <c r="K56"/>
  <c r="K55"/>
  <c r="K54"/>
  <c r="K53"/>
  <c r="K52"/>
  <c r="K51"/>
  <c r="N38"/>
  <c r="S38"/>
  <c r="P38"/>
  <c r="U38"/>
  <c r="P37"/>
  <c r="U37"/>
  <c r="N37"/>
  <c r="S37"/>
  <c r="P33"/>
  <c r="U33"/>
  <c r="N33"/>
  <c r="S33"/>
  <c r="N31"/>
  <c r="S31"/>
  <c r="P31"/>
  <c r="U31"/>
  <c r="N30"/>
  <c r="S30"/>
  <c r="P30"/>
  <c r="U30"/>
  <c r="D39"/>
  <c r="D42"/>
  <c r="P42"/>
  <c r="N4"/>
  <c r="D41"/>
  <c r="P41"/>
  <c r="N3"/>
  <c r="F43"/>
  <c r="H32"/>
  <c r="H35"/>
  <c r="H36"/>
  <c r="H43"/>
  <c r="J43"/>
  <c r="J57"/>
  <c r="J56"/>
  <c r="J53"/>
  <c r="J36"/>
  <c r="J35"/>
  <c r="J32"/>
  <c r="J62"/>
  <c r="C43"/>
  <c r="O43"/>
  <c r="M4"/>
  <c r="M32"/>
  <c r="R32"/>
  <c r="N32"/>
  <c r="S32"/>
  <c r="W32"/>
  <c r="O32"/>
  <c r="T32"/>
  <c r="P32"/>
  <c r="U32"/>
  <c r="X32"/>
  <c r="O35"/>
  <c r="T35"/>
  <c r="P35"/>
  <c r="U35"/>
  <c r="X35"/>
  <c r="M35"/>
  <c r="R35"/>
  <c r="N35"/>
  <c r="S35"/>
  <c r="W35"/>
  <c r="O36"/>
  <c r="T36"/>
  <c r="P36"/>
  <c r="U36"/>
  <c r="X36"/>
  <c r="M36"/>
  <c r="R36"/>
  <c r="N36"/>
  <c r="S36"/>
  <c r="W36"/>
  <c r="O19"/>
  <c r="T19"/>
  <c r="P19"/>
  <c r="U19"/>
  <c r="X19"/>
  <c r="M19"/>
  <c r="R19"/>
  <c r="N19"/>
  <c r="S19"/>
  <c r="W19"/>
  <c r="M15"/>
  <c r="R15"/>
  <c r="N15"/>
  <c r="S15"/>
  <c r="W15"/>
  <c r="O15"/>
  <c r="T15"/>
  <c r="P15"/>
  <c r="U15"/>
  <c r="X15"/>
  <c r="M11"/>
  <c r="R11"/>
  <c r="N11"/>
  <c r="S11"/>
  <c r="W11"/>
  <c r="O11"/>
  <c r="T11"/>
  <c r="P11"/>
  <c r="U11"/>
  <c r="X11"/>
  <c r="O12"/>
  <c r="T12"/>
  <c r="P12"/>
  <c r="U12"/>
  <c r="X12"/>
  <c r="M12"/>
  <c r="R12"/>
  <c r="N12"/>
  <c r="S12"/>
  <c r="W12"/>
  <c r="M13"/>
  <c r="R13"/>
  <c r="N13"/>
  <c r="S13"/>
  <c r="W13"/>
  <c r="O13"/>
  <c r="T13"/>
  <c r="P13"/>
  <c r="U13"/>
  <c r="X13"/>
  <c r="M16"/>
  <c r="R16"/>
  <c r="N16"/>
  <c r="S16"/>
  <c r="W16"/>
  <c r="O16"/>
  <c r="T16"/>
  <c r="P16"/>
  <c r="U16"/>
  <c r="X16"/>
  <c r="M18"/>
  <c r="R18"/>
  <c r="N18"/>
  <c r="S18"/>
  <c r="W18"/>
  <c r="O18"/>
  <c r="T18"/>
  <c r="P18"/>
  <c r="U18"/>
  <c r="X18"/>
  <c r="C21"/>
  <c r="M21"/>
  <c r="R21"/>
  <c r="D21"/>
  <c r="N21"/>
  <c r="S21"/>
  <c r="W21"/>
  <c r="M14"/>
  <c r="R14"/>
  <c r="N14"/>
  <c r="S14"/>
  <c r="W14"/>
  <c r="O14"/>
  <c r="T14"/>
  <c r="P14"/>
  <c r="U14"/>
  <c r="X14"/>
  <c r="T43"/>
  <c r="D43"/>
  <c r="P43"/>
  <c r="U43"/>
  <c r="X43"/>
  <c r="M43"/>
  <c r="R43"/>
  <c r="N43"/>
  <c r="S43"/>
  <c r="W43"/>
  <c r="M17"/>
  <c r="R17"/>
  <c r="N17"/>
  <c r="S17"/>
  <c r="W17"/>
  <c r="O17"/>
  <c r="T17"/>
  <c r="P17"/>
  <c r="U17"/>
  <c r="X17"/>
  <c r="O21"/>
  <c r="T21"/>
  <c r="P21"/>
  <c r="U21"/>
  <c r="X21"/>
  <c r="C41"/>
  <c r="H34"/>
  <c r="H41"/>
  <c r="O41"/>
  <c r="T41"/>
  <c r="U41"/>
  <c r="X41"/>
  <c r="F41"/>
  <c r="M41"/>
  <c r="R41"/>
  <c r="N41"/>
  <c r="S41"/>
  <c r="W41"/>
  <c r="F39"/>
  <c r="F42"/>
  <c r="C39"/>
  <c r="C42"/>
  <c r="M42"/>
  <c r="R42"/>
  <c r="N42"/>
  <c r="S42"/>
  <c r="W42"/>
  <c r="H39"/>
  <c r="H42"/>
  <c r="O42"/>
  <c r="T42"/>
  <c r="U42"/>
  <c r="X42"/>
  <c r="M3"/>
  <c r="M34"/>
  <c r="R34"/>
  <c r="N34"/>
  <c r="S34"/>
  <c r="W34"/>
  <c r="O34"/>
  <c r="T34"/>
  <c r="P34"/>
  <c r="U34"/>
  <c r="X34"/>
  <c r="O39"/>
  <c r="T39"/>
  <c r="P39"/>
  <c r="U39"/>
  <c r="X39"/>
  <c r="M39"/>
  <c r="R39"/>
  <c r="N39"/>
  <c r="S39"/>
  <c r="W39"/>
  <c r="J34"/>
  <c r="J41"/>
  <c r="J55"/>
  <c r="J39"/>
  <c r="J42"/>
  <c r="J61"/>
  <c r="G47" i="4"/>
  <c r="G48" i="5"/>
  <c r="C49"/>
  <c r="D49"/>
  <c r="E49"/>
  <c r="F49"/>
  <c r="G49"/>
  <c r="B49"/>
  <c r="C48"/>
  <c r="D48"/>
  <c r="E48"/>
  <c r="F48"/>
  <c r="B48"/>
  <c r="C47"/>
  <c r="D47"/>
  <c r="E47"/>
  <c r="F47"/>
  <c r="G47"/>
  <c r="B47"/>
  <c r="K23" i="2"/>
  <c r="K54"/>
  <c r="Q49"/>
  <c r="O49"/>
  <c r="P49"/>
  <c r="N49"/>
  <c r="D49"/>
  <c r="B49"/>
  <c r="O11"/>
  <c r="N27"/>
  <c r="P27"/>
  <c r="O40"/>
  <c r="N26"/>
  <c r="P26"/>
  <c r="O39"/>
  <c r="P47"/>
  <c r="B37"/>
  <c r="B38"/>
  <c r="B11"/>
  <c r="B27"/>
  <c r="B40"/>
  <c r="B47"/>
  <c r="D8"/>
  <c r="D9"/>
  <c r="D11"/>
  <c r="D18"/>
  <c r="D47"/>
  <c r="J11"/>
  <c r="J18"/>
  <c r="J47"/>
  <c r="K47"/>
  <c r="R47"/>
  <c r="S47"/>
  <c r="O47"/>
  <c r="N11"/>
  <c r="N47"/>
  <c r="Q47"/>
  <c r="B10"/>
  <c r="D10"/>
  <c r="K10"/>
  <c r="B14"/>
  <c r="D14"/>
  <c r="K14"/>
  <c r="B15"/>
  <c r="D15"/>
  <c r="K15"/>
  <c r="D37"/>
  <c r="K37"/>
  <c r="D38"/>
  <c r="J38"/>
  <c r="K38"/>
  <c r="B26"/>
  <c r="B39"/>
  <c r="D39"/>
  <c r="J39"/>
  <c r="K39"/>
  <c r="B41"/>
  <c r="D41"/>
  <c r="K41"/>
  <c r="B13"/>
  <c r="B30"/>
  <c r="B42"/>
  <c r="D13"/>
  <c r="D42"/>
  <c r="J42"/>
  <c r="K42"/>
  <c r="B28"/>
  <c r="B43"/>
  <c r="D43"/>
  <c r="J43"/>
  <c r="K43"/>
  <c r="B29"/>
  <c r="B44"/>
  <c r="D44"/>
  <c r="J44"/>
  <c r="K44"/>
  <c r="B45"/>
  <c r="D16"/>
  <c r="D45"/>
  <c r="J45"/>
  <c r="K45"/>
  <c r="B46"/>
  <c r="D17"/>
  <c r="D46"/>
  <c r="J46"/>
  <c r="K46"/>
  <c r="K49"/>
  <c r="I38"/>
  <c r="I39"/>
  <c r="I42"/>
  <c r="I43"/>
  <c r="I44"/>
  <c r="I45"/>
  <c r="I46"/>
  <c r="I49"/>
  <c r="J49"/>
  <c r="H38"/>
  <c r="H39"/>
  <c r="H42"/>
  <c r="H43"/>
  <c r="H44"/>
  <c r="H45"/>
  <c r="H46"/>
  <c r="H49"/>
  <c r="B8"/>
  <c r="K8"/>
  <c r="B9"/>
  <c r="K9"/>
  <c r="B12"/>
  <c r="K12"/>
  <c r="K13"/>
  <c r="B16"/>
  <c r="K16"/>
  <c r="B17"/>
  <c r="K17"/>
  <c r="K20"/>
  <c r="I20"/>
  <c r="J20"/>
  <c r="H20"/>
  <c r="D20"/>
  <c r="B20"/>
  <c r="N28"/>
  <c r="N29"/>
  <c r="N30"/>
  <c r="N31"/>
  <c r="D22"/>
  <c r="D21"/>
  <c r="B22"/>
  <c r="B21"/>
  <c r="K26"/>
  <c r="K28"/>
  <c r="K29"/>
  <c r="K30"/>
  <c r="K31"/>
  <c r="B31"/>
  <c r="K27"/>
  <c r="O27"/>
  <c r="L27"/>
  <c r="P28"/>
  <c r="O43"/>
  <c r="O28"/>
  <c r="L28"/>
  <c r="P29"/>
  <c r="O44"/>
  <c r="O29"/>
  <c r="L29"/>
  <c r="P30"/>
  <c r="O42"/>
  <c r="O30"/>
  <c r="L30"/>
  <c r="O26"/>
  <c r="L26"/>
  <c r="P31"/>
  <c r="O31"/>
  <c r="F50"/>
  <c r="E50"/>
  <c r="K11"/>
  <c r="K22"/>
  <c r="F22"/>
  <c r="E22"/>
  <c r="F38"/>
  <c r="F39"/>
  <c r="D40"/>
  <c r="J40"/>
  <c r="K40"/>
  <c r="F40"/>
  <c r="F41"/>
  <c r="F42"/>
  <c r="F43"/>
  <c r="F44"/>
  <c r="F45"/>
  <c r="F46"/>
  <c r="F47"/>
  <c r="E38"/>
  <c r="E39"/>
  <c r="E40"/>
  <c r="E41"/>
  <c r="E42"/>
  <c r="E43"/>
  <c r="E44"/>
  <c r="E45"/>
  <c r="E46"/>
  <c r="E47"/>
  <c r="F37"/>
  <c r="E37"/>
  <c r="F9"/>
  <c r="F10"/>
  <c r="F11"/>
  <c r="F12"/>
  <c r="F13"/>
  <c r="F14"/>
  <c r="F15"/>
  <c r="F16"/>
  <c r="F17"/>
  <c r="B18"/>
  <c r="K18"/>
  <c r="F18"/>
  <c r="E9"/>
  <c r="E10"/>
  <c r="E11"/>
  <c r="E12"/>
  <c r="E13"/>
  <c r="E14"/>
  <c r="E15"/>
  <c r="E16"/>
  <c r="E17"/>
  <c r="E18"/>
  <c r="F8"/>
  <c r="E8"/>
  <c r="K52"/>
  <c r="J51"/>
  <c r="D50"/>
  <c r="R49"/>
  <c r="S49"/>
  <c r="I11"/>
  <c r="I18"/>
  <c r="I47"/>
  <c r="H11"/>
  <c r="H18"/>
  <c r="H47"/>
  <c r="R46"/>
  <c r="S46"/>
  <c r="N46"/>
  <c r="R45"/>
  <c r="S45"/>
  <c r="N45"/>
  <c r="R44"/>
  <c r="S44"/>
  <c r="N44"/>
  <c r="R43"/>
  <c r="S43"/>
  <c r="N43"/>
  <c r="R42"/>
  <c r="S42"/>
  <c r="N42"/>
  <c r="R41"/>
  <c r="S41"/>
  <c r="N41"/>
  <c r="I40"/>
  <c r="H40"/>
  <c r="R39"/>
  <c r="S39"/>
  <c r="N39"/>
  <c r="R38"/>
  <c r="S38"/>
  <c r="N38"/>
  <c r="R37"/>
  <c r="S37"/>
  <c r="N37"/>
  <c r="Q31"/>
  <c r="J22"/>
  <c r="I22"/>
  <c r="H22"/>
  <c r="O20"/>
  <c r="N20"/>
  <c r="Q20"/>
  <c r="O18"/>
  <c r="N18"/>
  <c r="Q18"/>
  <c r="Q17"/>
  <c r="Q16"/>
  <c r="Q15"/>
  <c r="Q14"/>
  <c r="Q13"/>
  <c r="Q12"/>
  <c r="Q11"/>
  <c r="Q10"/>
  <c r="Q9"/>
  <c r="Q8"/>
  <c r="E11" i="1"/>
  <c r="L11"/>
  <c r="R11"/>
  <c r="E14"/>
  <c r="L14"/>
  <c r="R14"/>
  <c r="E15"/>
  <c r="L15"/>
  <c r="R15"/>
  <c r="R21"/>
  <c r="U21"/>
  <c r="W21"/>
  <c r="W22"/>
  <c r="G45"/>
  <c r="G46"/>
  <c r="G48"/>
  <c r="G49"/>
  <c r="G59"/>
  <c r="G47"/>
  <c r="G50"/>
  <c r="G51"/>
  <c r="G60"/>
  <c r="G52"/>
  <c r="G53"/>
  <c r="G61"/>
  <c r="G63"/>
  <c r="E9"/>
  <c r="L9"/>
  <c r="R9"/>
  <c r="E26"/>
  <c r="L26"/>
  <c r="R26"/>
  <c r="R45"/>
  <c r="E10"/>
  <c r="L10"/>
  <c r="R10"/>
  <c r="E27"/>
  <c r="L27"/>
  <c r="R27"/>
  <c r="R46"/>
  <c r="E12"/>
  <c r="L12"/>
  <c r="R12"/>
  <c r="E29"/>
  <c r="L29"/>
  <c r="R29"/>
  <c r="R48"/>
  <c r="E13"/>
  <c r="L13"/>
  <c r="R13"/>
  <c r="E30"/>
  <c r="L30"/>
  <c r="R30"/>
  <c r="R49"/>
  <c r="R59"/>
  <c r="E28"/>
  <c r="L28"/>
  <c r="R28"/>
  <c r="R47"/>
  <c r="E31"/>
  <c r="L31"/>
  <c r="R31"/>
  <c r="R50"/>
  <c r="E32"/>
  <c r="L32"/>
  <c r="R32"/>
  <c r="R51"/>
  <c r="R60"/>
  <c r="E16"/>
  <c r="L16"/>
  <c r="R16"/>
  <c r="E33"/>
  <c r="L33"/>
  <c r="R33"/>
  <c r="R52"/>
  <c r="E17"/>
  <c r="L17"/>
  <c r="R17"/>
  <c r="E34"/>
  <c r="L34"/>
  <c r="R34"/>
  <c r="R53"/>
  <c r="R61"/>
  <c r="R63"/>
  <c r="I63"/>
  <c r="D45"/>
  <c r="D46"/>
  <c r="D48"/>
  <c r="D49"/>
  <c r="D59"/>
  <c r="D47"/>
  <c r="D50"/>
  <c r="D51"/>
  <c r="D60"/>
  <c r="D52"/>
  <c r="D53"/>
  <c r="D61"/>
  <c r="D63"/>
  <c r="H63"/>
  <c r="E45"/>
  <c r="E46"/>
  <c r="E48"/>
  <c r="E49"/>
  <c r="E59"/>
  <c r="E47"/>
  <c r="E50"/>
  <c r="E51"/>
  <c r="E60"/>
  <c r="E52"/>
  <c r="E53"/>
  <c r="E61"/>
  <c r="E63"/>
  <c r="F63"/>
  <c r="U46"/>
  <c r="AD46"/>
  <c r="R55"/>
  <c r="U45"/>
  <c r="U47"/>
  <c r="U48"/>
  <c r="U49"/>
  <c r="U50"/>
  <c r="U51"/>
  <c r="U52"/>
  <c r="U53"/>
  <c r="U55"/>
  <c r="AD55"/>
  <c r="AD61"/>
  <c r="AD47"/>
  <c r="AD62"/>
  <c r="AD48"/>
  <c r="AD63"/>
  <c r="AD49"/>
  <c r="AD64"/>
  <c r="AD50"/>
  <c r="AD65"/>
  <c r="AD51"/>
  <c r="AD66"/>
  <c r="AD52"/>
  <c r="AD67"/>
  <c r="AD53"/>
  <c r="AD68"/>
  <c r="AD45"/>
  <c r="AD60"/>
  <c r="K45"/>
  <c r="K46"/>
  <c r="K48"/>
  <c r="K49"/>
  <c r="K59"/>
  <c r="L45"/>
  <c r="L46"/>
  <c r="L48"/>
  <c r="L49"/>
  <c r="L59"/>
  <c r="K47"/>
  <c r="K50"/>
  <c r="K51"/>
  <c r="K60"/>
  <c r="L47"/>
  <c r="L50"/>
  <c r="L51"/>
  <c r="L60"/>
  <c r="K52"/>
  <c r="K53"/>
  <c r="K61"/>
  <c r="L52"/>
  <c r="L53"/>
  <c r="L61"/>
  <c r="K63"/>
  <c r="L63"/>
  <c r="J45"/>
  <c r="J46"/>
  <c r="J48"/>
  <c r="J49"/>
  <c r="J59"/>
  <c r="J47"/>
  <c r="J50"/>
  <c r="J51"/>
  <c r="J60"/>
  <c r="J52"/>
  <c r="J53"/>
  <c r="J61"/>
  <c r="J63"/>
  <c r="C45"/>
  <c r="C46"/>
  <c r="C48"/>
  <c r="C49"/>
  <c r="C59"/>
  <c r="C47"/>
  <c r="C50"/>
  <c r="C51"/>
  <c r="C60"/>
  <c r="C52"/>
  <c r="C53"/>
  <c r="C61"/>
  <c r="C63"/>
  <c r="B45"/>
  <c r="B46"/>
  <c r="B48"/>
  <c r="B49"/>
  <c r="B59"/>
  <c r="B47"/>
  <c r="B50"/>
  <c r="B51"/>
  <c r="B60"/>
  <c r="B52"/>
  <c r="B53"/>
  <c r="B61"/>
  <c r="B63"/>
  <c r="Q56"/>
  <c r="R56"/>
  <c r="Q62"/>
  <c r="J55"/>
  <c r="O55"/>
  <c r="K55"/>
  <c r="P55"/>
  <c r="Q55"/>
  <c r="O10"/>
  <c r="P10"/>
  <c r="Q10"/>
  <c r="O11"/>
  <c r="P11"/>
  <c r="Q11"/>
  <c r="O12"/>
  <c r="P12"/>
  <c r="Q12"/>
  <c r="O13"/>
  <c r="P13"/>
  <c r="Q13"/>
  <c r="O14"/>
  <c r="P14"/>
  <c r="Q14"/>
  <c r="O15"/>
  <c r="P15"/>
  <c r="Q15"/>
  <c r="O16"/>
  <c r="P16"/>
  <c r="Q16"/>
  <c r="O17"/>
  <c r="P17"/>
  <c r="Q17"/>
  <c r="J19"/>
  <c r="O19"/>
  <c r="K19"/>
  <c r="P19"/>
  <c r="Q19"/>
  <c r="J21"/>
  <c r="O21"/>
  <c r="K21"/>
  <c r="P21"/>
  <c r="Q21"/>
  <c r="O26"/>
  <c r="P26"/>
  <c r="Q26"/>
  <c r="O27"/>
  <c r="P27"/>
  <c r="Q27"/>
  <c r="O28"/>
  <c r="P28"/>
  <c r="Q28"/>
  <c r="O29"/>
  <c r="P29"/>
  <c r="Q29"/>
  <c r="O30"/>
  <c r="P30"/>
  <c r="Q30"/>
  <c r="O31"/>
  <c r="P31"/>
  <c r="Q31"/>
  <c r="O32"/>
  <c r="P32"/>
  <c r="Q32"/>
  <c r="O33"/>
  <c r="P33"/>
  <c r="Q33"/>
  <c r="O34"/>
  <c r="P34"/>
  <c r="Q34"/>
  <c r="O35"/>
  <c r="P35"/>
  <c r="Q35"/>
  <c r="J37"/>
  <c r="O37"/>
  <c r="K37"/>
  <c r="P37"/>
  <c r="Q37"/>
  <c r="J39"/>
  <c r="O39"/>
  <c r="K39"/>
  <c r="P39"/>
  <c r="Q39"/>
  <c r="J40"/>
  <c r="O40"/>
  <c r="K40"/>
  <c r="P40"/>
  <c r="Q40"/>
  <c r="O45"/>
  <c r="P45"/>
  <c r="Q45"/>
  <c r="O46"/>
  <c r="P46"/>
  <c r="Q46"/>
  <c r="O47"/>
  <c r="P47"/>
  <c r="Q47"/>
  <c r="O48"/>
  <c r="P48"/>
  <c r="Q48"/>
  <c r="O49"/>
  <c r="P49"/>
  <c r="Q49"/>
  <c r="O50"/>
  <c r="P50"/>
  <c r="Q50"/>
  <c r="O51"/>
  <c r="P51"/>
  <c r="Q51"/>
  <c r="O52"/>
  <c r="P52"/>
  <c r="Q52"/>
  <c r="O53"/>
  <c r="P53"/>
  <c r="Q53"/>
  <c r="J57"/>
  <c r="O57"/>
  <c r="K57"/>
  <c r="P57"/>
  <c r="Q57"/>
  <c r="O9"/>
  <c r="P9"/>
  <c r="Q9"/>
  <c r="T47"/>
  <c r="T50"/>
  <c r="T51"/>
  <c r="T57"/>
  <c r="U57"/>
  <c r="L57"/>
  <c r="V57"/>
  <c r="T39"/>
  <c r="T40"/>
  <c r="U39"/>
  <c r="U40"/>
  <c r="L39"/>
  <c r="L35"/>
  <c r="L40"/>
  <c r="V40"/>
  <c r="G39"/>
  <c r="G40"/>
  <c r="D39"/>
  <c r="D40"/>
  <c r="H40"/>
  <c r="C39"/>
  <c r="C40"/>
  <c r="T21"/>
  <c r="B39"/>
  <c r="B40"/>
  <c r="V39"/>
  <c r="L21"/>
  <c r="V21"/>
  <c r="G21"/>
  <c r="D21"/>
  <c r="H39"/>
  <c r="M29"/>
  <c r="C21"/>
  <c r="B21"/>
  <c r="E35"/>
  <c r="R35"/>
  <c r="M35"/>
  <c r="M27"/>
  <c r="T37"/>
  <c r="B19"/>
  <c r="C19"/>
  <c r="D19"/>
  <c r="E19"/>
  <c r="G19"/>
  <c r="L19"/>
  <c r="T19"/>
  <c r="U37"/>
  <c r="U19"/>
  <c r="AE27"/>
  <c r="AD29"/>
  <c r="AE29"/>
  <c r="N17"/>
  <c r="AD35"/>
  <c r="AE35"/>
  <c r="L37"/>
  <c r="B37"/>
  <c r="C37"/>
  <c r="D37"/>
  <c r="E37"/>
  <c r="G37"/>
  <c r="L55"/>
  <c r="H51"/>
  <c r="H53"/>
  <c r="W35"/>
  <c r="AA35"/>
  <c r="AB35"/>
  <c r="V35"/>
  <c r="V37"/>
  <c r="I35"/>
  <c r="H35"/>
  <c r="F35"/>
  <c r="T45"/>
  <c r="T46"/>
  <c r="T48"/>
  <c r="T49"/>
  <c r="T52"/>
  <c r="T53"/>
  <c r="T55"/>
  <c r="V55"/>
  <c r="H48"/>
  <c r="V53"/>
  <c r="V52"/>
  <c r="V51"/>
  <c r="V50"/>
  <c r="V49"/>
  <c r="V48"/>
  <c r="V47"/>
  <c r="H47"/>
  <c r="V46"/>
  <c r="V45"/>
  <c r="H45"/>
  <c r="C38"/>
  <c r="H37"/>
  <c r="V34"/>
  <c r="H34"/>
  <c r="V33"/>
  <c r="H33"/>
  <c r="V32"/>
  <c r="H32"/>
  <c r="V31"/>
  <c r="H31"/>
  <c r="V30"/>
  <c r="H30"/>
  <c r="W29"/>
  <c r="AA29"/>
  <c r="Z29"/>
  <c r="V29"/>
  <c r="Y29"/>
  <c r="I29"/>
  <c r="H29"/>
  <c r="F29"/>
  <c r="V28"/>
  <c r="H28"/>
  <c r="W27"/>
  <c r="AA27"/>
  <c r="AB27"/>
  <c r="Z27"/>
  <c r="V27"/>
  <c r="Y27"/>
  <c r="I27"/>
  <c r="H27"/>
  <c r="F27"/>
  <c r="V26"/>
  <c r="H26"/>
  <c r="V19"/>
  <c r="V17"/>
  <c r="H17"/>
  <c r="V16"/>
  <c r="H16"/>
  <c r="V15"/>
  <c r="H15"/>
  <c r="V14"/>
  <c r="H14"/>
  <c r="V13"/>
  <c r="H13"/>
  <c r="V12"/>
  <c r="H12"/>
  <c r="V11"/>
  <c r="H11"/>
  <c r="V10"/>
  <c r="H10"/>
  <c r="V9"/>
  <c r="H9"/>
  <c r="H21"/>
  <c r="G57"/>
  <c r="H49"/>
  <c r="H50"/>
  <c r="G55"/>
  <c r="H52"/>
  <c r="D55"/>
  <c r="H55"/>
  <c r="N12"/>
  <c r="N11"/>
  <c r="AE11"/>
  <c r="AE28"/>
  <c r="AG28"/>
  <c r="AD11"/>
  <c r="AD28"/>
  <c r="AF28"/>
  <c r="W11"/>
  <c r="AA11"/>
  <c r="F11"/>
  <c r="I11"/>
  <c r="E21"/>
  <c r="B57"/>
  <c r="M14"/>
  <c r="C57"/>
  <c r="B55"/>
  <c r="D57"/>
  <c r="H57"/>
  <c r="N34"/>
  <c r="M34"/>
  <c r="AD34"/>
  <c r="AE34"/>
  <c r="W34"/>
  <c r="F34"/>
  <c r="I34"/>
  <c r="M33"/>
  <c r="W33"/>
  <c r="F33"/>
  <c r="AD33"/>
  <c r="N33"/>
  <c r="AE33"/>
  <c r="I33"/>
  <c r="AD26"/>
  <c r="I26"/>
  <c r="N26"/>
  <c r="W26"/>
  <c r="F26"/>
  <c r="M26"/>
  <c r="R37"/>
  <c r="AE26"/>
  <c r="R39"/>
  <c r="F28"/>
  <c r="N28"/>
  <c r="I28"/>
  <c r="M28"/>
  <c r="W28"/>
  <c r="AE30"/>
  <c r="N30"/>
  <c r="F30"/>
  <c r="M30"/>
  <c r="W30"/>
  <c r="AD30"/>
  <c r="I30"/>
  <c r="AD32"/>
  <c r="W32"/>
  <c r="N32"/>
  <c r="I32"/>
  <c r="M32"/>
  <c r="AE32"/>
  <c r="F32"/>
  <c r="E38"/>
  <c r="M31"/>
  <c r="I31"/>
  <c r="AE31"/>
  <c r="N31"/>
  <c r="AD31"/>
  <c r="W31"/>
  <c r="F31"/>
  <c r="AB29"/>
  <c r="H46"/>
  <c r="Z35"/>
  <c r="Y35"/>
  <c r="N35"/>
  <c r="N29"/>
  <c r="N27"/>
  <c r="E39"/>
  <c r="C55"/>
  <c r="AD27"/>
  <c r="F47"/>
  <c r="AB11"/>
  <c r="AE10"/>
  <c r="AG27"/>
  <c r="W10"/>
  <c r="N10"/>
  <c r="I10"/>
  <c r="M10"/>
  <c r="AD10"/>
  <c r="AF27"/>
  <c r="N9"/>
  <c r="M9"/>
  <c r="I9"/>
  <c r="AD9"/>
  <c r="AF26"/>
  <c r="W9"/>
  <c r="F9"/>
  <c r="AE9"/>
  <c r="AG26"/>
  <c r="N13"/>
  <c r="AE13"/>
  <c r="AG30"/>
  <c r="M13"/>
  <c r="AD13"/>
  <c r="AF30"/>
  <c r="W13"/>
  <c r="I13"/>
  <c r="R19"/>
  <c r="F19"/>
  <c r="I16"/>
  <c r="N16"/>
  <c r="W16"/>
  <c r="M16"/>
  <c r="AE16"/>
  <c r="AG33"/>
  <c r="AD16"/>
  <c r="AF33"/>
  <c r="F16"/>
  <c r="I17"/>
  <c r="F13"/>
  <c r="F17"/>
  <c r="W17"/>
  <c r="E57"/>
  <c r="M12"/>
  <c r="H19"/>
  <c r="AD17"/>
  <c r="AF34"/>
  <c r="M47"/>
  <c r="M17"/>
  <c r="M11"/>
  <c r="AE17"/>
  <c r="AG34"/>
  <c r="F10"/>
  <c r="AD12"/>
  <c r="AF29"/>
  <c r="AE12"/>
  <c r="AG29"/>
  <c r="F14"/>
  <c r="AD14"/>
  <c r="AF31"/>
  <c r="F52"/>
  <c r="N14"/>
  <c r="F46"/>
  <c r="F49"/>
  <c r="I12"/>
  <c r="W12"/>
  <c r="F12"/>
  <c r="Z11"/>
  <c r="Y11"/>
  <c r="W14"/>
  <c r="AA14"/>
  <c r="AB14"/>
  <c r="AE14"/>
  <c r="AG31"/>
  <c r="I14"/>
  <c r="E40"/>
  <c r="R40"/>
  <c r="F40"/>
  <c r="F39"/>
  <c r="AE50"/>
  <c r="W50"/>
  <c r="AA32"/>
  <c r="Z32"/>
  <c r="Y32"/>
  <c r="AB32"/>
  <c r="AA30"/>
  <c r="AB30"/>
  <c r="AA26"/>
  <c r="AB26"/>
  <c r="M39"/>
  <c r="AE39"/>
  <c r="AD39"/>
  <c r="I39"/>
  <c r="N39"/>
  <c r="W39"/>
  <c r="AA34"/>
  <c r="AB34"/>
  <c r="Z34"/>
  <c r="Y34"/>
  <c r="AA28"/>
  <c r="AB28"/>
  <c r="AA33"/>
  <c r="AB33"/>
  <c r="AA31"/>
  <c r="Z31"/>
  <c r="Y31"/>
  <c r="AB31"/>
  <c r="N47"/>
  <c r="W47"/>
  <c r="AE47"/>
  <c r="I47"/>
  <c r="L38"/>
  <c r="W37"/>
  <c r="K38"/>
  <c r="P38"/>
  <c r="N37"/>
  <c r="AE37"/>
  <c r="G38"/>
  <c r="I37"/>
  <c r="M37"/>
  <c r="AD37"/>
  <c r="J38"/>
  <c r="O38"/>
  <c r="F37"/>
  <c r="N45"/>
  <c r="M45"/>
  <c r="W45"/>
  <c r="AE45"/>
  <c r="I45"/>
  <c r="N53"/>
  <c r="M53"/>
  <c r="AE53"/>
  <c r="I53"/>
  <c r="W53"/>
  <c r="F53"/>
  <c r="AA9"/>
  <c r="AB9"/>
  <c r="AA16"/>
  <c r="AB16"/>
  <c r="N49"/>
  <c r="M49"/>
  <c r="AE49"/>
  <c r="W49"/>
  <c r="I49"/>
  <c r="E55"/>
  <c r="F45"/>
  <c r="E20"/>
  <c r="AA17"/>
  <c r="AB17"/>
  <c r="W19"/>
  <c r="AE19"/>
  <c r="AG37"/>
  <c r="AD19"/>
  <c r="AF37"/>
  <c r="L20"/>
  <c r="I19"/>
  <c r="M19"/>
  <c r="G20"/>
  <c r="K20"/>
  <c r="P20"/>
  <c r="C20"/>
  <c r="N19"/>
  <c r="J20"/>
  <c r="O20"/>
  <c r="AA10"/>
  <c r="AB10"/>
  <c r="N15"/>
  <c r="AE15"/>
  <c r="AG32"/>
  <c r="W15"/>
  <c r="M15"/>
  <c r="AD15"/>
  <c r="AF32"/>
  <c r="I15"/>
  <c r="F15"/>
  <c r="W52"/>
  <c r="AE52"/>
  <c r="M52"/>
  <c r="N52"/>
  <c r="I52"/>
  <c r="AA13"/>
  <c r="AB13"/>
  <c r="AE46"/>
  <c r="I46"/>
  <c r="N46"/>
  <c r="W46"/>
  <c r="M46"/>
  <c r="F50"/>
  <c r="N50"/>
  <c r="I50"/>
  <c r="M50"/>
  <c r="AA12"/>
  <c r="AB12"/>
  <c r="Z10"/>
  <c r="Y10"/>
  <c r="Q20"/>
  <c r="Z17"/>
  <c r="Y17"/>
  <c r="M48"/>
  <c r="AE48"/>
  <c r="I48"/>
  <c r="W48"/>
  <c r="N48"/>
  <c r="F48"/>
  <c r="Z14"/>
  <c r="Y14"/>
  <c r="AA39"/>
  <c r="AB39"/>
  <c r="Z26"/>
  <c r="Y26"/>
  <c r="AA47"/>
  <c r="AB47"/>
  <c r="Z33"/>
  <c r="Y33"/>
  <c r="AA37"/>
  <c r="AB37"/>
  <c r="Z37"/>
  <c r="Y37"/>
  <c r="AE40"/>
  <c r="W40"/>
  <c r="N40"/>
  <c r="AD40"/>
  <c r="M40"/>
  <c r="I40"/>
  <c r="AA50"/>
  <c r="AB50"/>
  <c r="Q38"/>
  <c r="Z28"/>
  <c r="Y28"/>
  <c r="Z30"/>
  <c r="Y30"/>
  <c r="N21"/>
  <c r="AE21"/>
  <c r="AG39"/>
  <c r="M21"/>
  <c r="AD21"/>
  <c r="AF39"/>
  <c r="I21"/>
  <c r="F21"/>
  <c r="AA19"/>
  <c r="AB19"/>
  <c r="AA53"/>
  <c r="AB53"/>
  <c r="AA45"/>
  <c r="AB45"/>
  <c r="Z13"/>
  <c r="Y13"/>
  <c r="Z16"/>
  <c r="Y16"/>
  <c r="AA46"/>
  <c r="AB46"/>
  <c r="AA52"/>
  <c r="AB52"/>
  <c r="N51"/>
  <c r="M51"/>
  <c r="W51"/>
  <c r="AE51"/>
  <c r="I51"/>
  <c r="F51"/>
  <c r="R57"/>
  <c r="F55"/>
  <c r="E56"/>
  <c r="AA15"/>
  <c r="AB15"/>
  <c r="Z9"/>
  <c r="Y9"/>
  <c r="AA49"/>
  <c r="AB49"/>
  <c r="G56"/>
  <c r="N55"/>
  <c r="AE55"/>
  <c r="J56"/>
  <c r="I55"/>
  <c r="K56"/>
  <c r="M55"/>
  <c r="L56"/>
  <c r="W55"/>
  <c r="Q61"/>
  <c r="AA48"/>
  <c r="AB48"/>
  <c r="Z50"/>
  <c r="Y50"/>
  <c r="Z12"/>
  <c r="Y12"/>
  <c r="Z47"/>
  <c r="Y47"/>
  <c r="Z15"/>
  <c r="Y15"/>
  <c r="Z49"/>
  <c r="Y49"/>
  <c r="Z39"/>
  <c r="Y39"/>
  <c r="Z53"/>
  <c r="Y53"/>
  <c r="AA40"/>
  <c r="AB40"/>
  <c r="Z40"/>
  <c r="Y40"/>
  <c r="W57"/>
  <c r="I57"/>
  <c r="AD57"/>
  <c r="N57"/>
  <c r="AE57"/>
  <c r="F57"/>
  <c r="AA21"/>
  <c r="Z21"/>
  <c r="Y21"/>
  <c r="Z46"/>
  <c r="Y46"/>
  <c r="Z45"/>
  <c r="Y45"/>
  <c r="Z19"/>
  <c r="Y19"/>
  <c r="AA55"/>
  <c r="AB55"/>
  <c r="AA51"/>
  <c r="AB51"/>
  <c r="Z52"/>
  <c r="Y52"/>
  <c r="Z48"/>
  <c r="Y48"/>
  <c r="Z55"/>
  <c r="Y55"/>
  <c r="Z51"/>
  <c r="Y51"/>
  <c r="AA57"/>
  <c r="AB57"/>
  <c r="Z57"/>
  <c r="Y57"/>
</calcChain>
</file>

<file path=xl/sharedStrings.xml><?xml version="1.0" encoding="utf-8"?>
<sst xmlns="http://schemas.openxmlformats.org/spreadsheetml/2006/main" count="809" uniqueCount="444">
  <si>
    <t>percent</t>
    <phoneticPr fontId="51" type="noConversion"/>
  </si>
  <si>
    <t>South</t>
    <phoneticPr fontId="51" type="noConversion"/>
  </si>
  <si>
    <t>free South --&gt;</t>
    <phoneticPr fontId="51" type="noConversion"/>
  </si>
  <si>
    <t>vs 1,436.1 tab 6-3</t>
    <phoneticPr fontId="51" type="noConversion"/>
  </si>
  <si>
    <t>&lt;- agrees with</t>
    <phoneticPr fontId="51" type="noConversion"/>
  </si>
  <si>
    <t>table 6-3</t>
    <phoneticPr fontId="51" type="noConversion"/>
  </si>
  <si>
    <t>vs. 502.9 tab 6-3</t>
    <phoneticPr fontId="51" type="noConversion"/>
  </si>
  <si>
    <r>
      <t xml:space="preserve">1870 </t>
    </r>
    <r>
      <rPr>
        <b/>
        <sz val="16"/>
        <color theme="1"/>
        <rFont val="Calibri"/>
        <family val="2"/>
        <scheme val="minor"/>
      </rPr>
      <t xml:space="preserve">Total </t>
    </r>
    <phoneticPr fontId="51" type="noConversion"/>
  </si>
  <si>
    <t>&lt;- ditto</t>
    <phoneticPr fontId="51" type="noConversion"/>
  </si>
  <si>
    <t>table 6-1</t>
    <phoneticPr fontId="51" type="noConversion"/>
  </si>
  <si>
    <t>South</t>
    <phoneticPr fontId="51" type="noConversion"/>
  </si>
  <si>
    <t xml:space="preserve"> &lt;- as in 6-1</t>
    <phoneticPr fontId="51" type="noConversion"/>
  </si>
  <si>
    <t xml:space="preserve"> &lt;- as in 6-3</t>
    <phoneticPr fontId="51" type="noConversion"/>
  </si>
  <si>
    <r>
      <t>Here using 1840 = 100, 1860 deflator = 106; 1870 deflator = 106 *130/90 for all regions, based on the Weiss indice</t>
    </r>
    <r>
      <rPr>
        <sz val="12"/>
        <color indexed="10"/>
        <rFont val="Calibri"/>
        <family val="2"/>
      </rPr>
      <t xml:space="preserve"> to 1860, then a compromise among David-Solar CPI and wholesale prices for 1870.</t>
    </r>
    <r>
      <rPr>
        <sz val="12"/>
        <color indexed="10"/>
        <rFont val="Calibri"/>
        <family val="2"/>
        <scheme val="minor"/>
      </rPr>
      <t>.</t>
    </r>
    <phoneticPr fontId="51" type="noConversion"/>
  </si>
  <si>
    <t>(a) Robert Allen's (2012) cost of a barebones bundle: For 1850, the 1846-1850 average = $9.05; for 1860, the 1856-1860 average = $10.59; for 1870, the 1866-1870 average = $15.69.</t>
  </si>
  <si>
    <t xml:space="preserve">(b) The David-Solar (1977) index, based on 1860 = 100: </t>
  </si>
  <si>
    <t>ESC = Louisville, Nashville, Jackson (TN), Memphis, New Cumberland WV, Wheeling WV.</t>
  </si>
  <si>
    <r>
      <t xml:space="preserve">See Greenfield, Robert L. and Hugh Rockoff. 1996. "Yellowbacks out West and Greenbacks Back East: Social-Choice Dimensions of Monetary Reform". </t>
    </r>
    <r>
      <rPr>
        <i/>
        <sz val="11"/>
        <color rgb="FFFF0000"/>
        <rFont val="Calibri"/>
        <family val="2"/>
        <scheme val="minor"/>
      </rPr>
      <t>Southern Economic Journal</t>
    </r>
    <r>
      <rPr>
        <sz val="11"/>
        <color rgb="FFFF0000"/>
        <rFont val="Calibri"/>
        <family val="2"/>
        <scheme val="minor"/>
      </rPr>
      <t xml:space="preserve"> 62, 4 (April): 902-915.</t>
    </r>
  </si>
  <si>
    <t>* CAUTIONS ON REGIONAL DEFLATORS</t>
  </si>
  <si>
    <t>Our thanks to Hugh Rockoff for emphasizing this.</t>
  </si>
  <si>
    <t>Our thanks to Hugh Rockoff for emphasizing this point about the Western region prices..</t>
  </si>
  <si>
    <t xml:space="preserve">Real ratios, (1870/1860)* </t>
  </si>
  <si>
    <t xml:space="preserve">WNC </t>
  </si>
  <si>
    <t>WNC = MO for 1860; full WNC for 1870.</t>
  </si>
  <si>
    <t>WNC (MO only)</t>
  </si>
  <si>
    <t>(Using population of all non-whites in the WNC)</t>
  </si>
  <si>
    <t>(Using population of non-whites in Missouri only, largely African-American)</t>
  </si>
  <si>
    <t>Nominal income per --</t>
  </si>
  <si>
    <t>Nominal income averages, 1870</t>
  </si>
  <si>
    <t>On the absolute level of these prices during the Greenback era, see</t>
  </si>
  <si>
    <r>
      <t xml:space="preserve">Greenfield, Robert L. and Hugh Rockoff. 1996. "Yellowbacks out West and Greenbacks Back East: Social-Choice Dimensions of Monetary Reform". </t>
    </r>
    <r>
      <rPr>
        <i/>
        <sz val="11"/>
        <color rgb="FFFF0000"/>
        <rFont val="Calibri"/>
        <family val="2"/>
        <scheme val="minor"/>
      </rPr>
      <t>Southern Economic Journal</t>
    </r>
    <r>
      <rPr>
        <sz val="11"/>
        <color rgb="FFFF0000"/>
        <rFont val="Calibri"/>
        <family val="2"/>
        <scheme val="minor"/>
      </rPr>
      <t xml:space="preserve"> 62, 4 (April): 902-915.</t>
    </r>
  </si>
  <si>
    <t>(current $ millions)</t>
  </si>
  <si>
    <t>Regional income totals 1870, with "part time" work-year assumptions</t>
  </si>
  <si>
    <t>USA</t>
  </si>
  <si>
    <t>All South (incl MO)</t>
  </si>
  <si>
    <t>All South (no MO)</t>
  </si>
  <si>
    <t>nominal per capita (nonwhite/white), %</t>
  </si>
  <si>
    <t xml:space="preserve">Table 6-1. </t>
  </si>
  <si>
    <t>Income per capita by Race and Region, 1850 - 1870</t>
  </si>
  <si>
    <t>South 1860</t>
  </si>
  <si>
    <t>South 1870</t>
  </si>
  <si>
    <t>White</t>
  </si>
  <si>
    <t>Non-white</t>
  </si>
  <si>
    <t>All races</t>
  </si>
  <si>
    <t>USA 1860</t>
  </si>
  <si>
    <t>USA 1870</t>
  </si>
  <si>
    <t>Average income, in 1840 $</t>
  </si>
  <si>
    <t>Part-time income per capita</t>
    <phoneticPr fontId="0" type="noConversion"/>
  </si>
  <si>
    <t>Average Annual San Francisco Wholesale Quotations for 34 Selected Commodities, 1847 - 1900.</t>
  </si>
  <si>
    <t>Bacon</t>
  </si>
  <si>
    <t xml:space="preserve">South </t>
    <phoneticPr fontId="51" type="noConversion"/>
  </si>
  <si>
    <t>South 1850*</t>
  </si>
  <si>
    <t>USA 1850*</t>
  </si>
  <si>
    <t>$ per box</t>
  </si>
  <si>
    <t>Rice</t>
  </si>
  <si>
    <t>Salmon</t>
  </si>
  <si>
    <t>Salt</t>
  </si>
  <si>
    <t>Sheeting</t>
  </si>
  <si>
    <t>¢ per meter</t>
  </si>
  <si>
    <t xml:space="preserve">Shot </t>
  </si>
  <si>
    <t>$ per kg.</t>
  </si>
  <si>
    <t>Shovels</t>
  </si>
  <si>
    <t>For 1850, the 1846-1850 average = 94.4; for 1860, the 1856-1860 average = 101.2; for 1870, the 1866-1870 average = 172.2.</t>
  </si>
  <si>
    <t>||</t>
  </si>
  <si>
    <t>V</t>
  </si>
  <si>
    <t>Implied gross private wealth</t>
  </si>
  <si>
    <t>Peter Lindert, 20 may 2014</t>
  </si>
  <si>
    <t>backed out using 5% return on realty,</t>
  </si>
  <si>
    <t>than on the Atlantic Coast, and greenback prices were highest on the western frontier.  And prices fell faster on that western frontier.  See the "Prices" worksheets of this file.</t>
  </si>
  <si>
    <t>Farm residual</t>
  </si>
  <si>
    <t>revised 27 august 2014</t>
  </si>
  <si>
    <t>hh's headed by</t>
  </si>
  <si>
    <t>farm laborers (not farm operators) = pure Lebergott/Williamson</t>
  </si>
  <si>
    <t>farm op hh's'</t>
  </si>
  <si>
    <t>labor earnings</t>
  </si>
  <si>
    <t>United States</t>
  </si>
  <si>
    <t>United States again</t>
  </si>
  <si>
    <t>Relative to USA = 100:</t>
  </si>
  <si>
    <t>*For 1850, "white" actually refers to the entire free population and "non-white" = slaves.</t>
  </si>
  <si>
    <t>Oscar Mendez &amp;</t>
  </si>
  <si>
    <t xml:space="preserve">Peter Lindert, </t>
  </si>
  <si>
    <t>20dec'13, slightly</t>
  </si>
  <si>
    <t>expanded July 2014</t>
  </si>
  <si>
    <t>Added July'14</t>
  </si>
  <si>
    <t>1878 104 104 93 106 87 119</t>
  </si>
  <si>
    <t>1879 102 101 93 106 97 115</t>
  </si>
  <si>
    <t>1880 104 101 93 108 96 119</t>
  </si>
  <si>
    <t>EXPRESSED AS A PERCENTAGE OF THE U.S. INDEX FOR EACH YEAR, 1851-1880</t>
  </si>
  <si>
    <t>Middle</t>
  </si>
  <si>
    <t>North</t>
  </si>
  <si>
    <t>South</t>
  </si>
  <si>
    <t>Atlantic</t>
  </si>
  <si>
    <t>Central</t>
  </si>
  <si>
    <t>Esat</t>
  </si>
  <si>
    <t>West</t>
  </si>
  <si>
    <t>East</t>
  </si>
  <si>
    <t>New</t>
  </si>
  <si>
    <t>England</t>
  </si>
  <si>
    <t>(1866-1869)</t>
  </si>
  <si>
    <t>(1866-1880)</t>
  </si>
  <si>
    <t>Averages, per Coelho-Shepherd:</t>
  </si>
  <si>
    <t>1851-1860</t>
  </si>
  <si>
    <t>1861-1870</t>
  </si>
  <si>
    <t>1851-1880</t>
  </si>
  <si>
    <t>It used IPUMS sorting to separate out those neither white nor black.</t>
    <phoneticPr fontId="51" type="noConversion"/>
  </si>
  <si>
    <r>
      <t>BUT</t>
    </r>
    <r>
      <rPr>
        <sz val="12"/>
        <color indexed="10"/>
        <rFont val="Calibri"/>
        <family val="2"/>
      </rPr>
      <t xml:space="preserve"> for truly black/white comparisons, see file "1850-1870 incomes by race, Table 6-7 ••".</t>
    </r>
    <phoneticPr fontId="51" type="noConversion"/>
  </si>
  <si>
    <t>Real income averages*</t>
  </si>
  <si>
    <t>Summary of regional incomes, 1860 versus 1870</t>
    <phoneticPr fontId="0" type="noConversion"/>
  </si>
  <si>
    <t>(IPUMS-weighted)</t>
    <phoneticPr fontId="0" type="noConversion"/>
  </si>
  <si>
    <t xml:space="preserve">Real, </t>
  </si>
  <si>
    <t>Total incomes (weighted)</t>
    <phoneticPr fontId="0" type="noConversion"/>
  </si>
  <si>
    <t>Millions of</t>
    <phoneticPr fontId="0" type="noConversion"/>
  </si>
  <si>
    <t xml:space="preserve"> --&gt; Caution: Unlike the US deflator used here, Western prices did not rise 1856/60 to 1866/70, because they were in gold dollars, not greenbacks.  See the "Prices SF 1848-1870" worksheet.</t>
  </si>
  <si>
    <t>Further CAUTION: during the Greenback era, Mountain and Pacific prices were recorded in gold dollars, not greenbacks.</t>
  </si>
  <si>
    <t>South (with MO)</t>
  </si>
  <si>
    <t>[NB: These are not averages of the regional ratios.  Rather they are ratios of all-region sums. Blacks coontentrated in the poorer South, more than whites.]</t>
  </si>
  <si>
    <t>per household</t>
    <phoneticPr fontId="0" type="noConversion"/>
  </si>
  <si>
    <t>per capita</t>
    <phoneticPr fontId="0" type="noConversion"/>
  </si>
  <si>
    <t xml:space="preserve">Ratio (1870/1860), </t>
  </si>
  <si>
    <t xml:space="preserve"> --&gt; Caution: Unlike the US deflator used here, Western prices did not rise 1856/60 to 1866/70.  See the "Prices SF 1848-1870" worksheet.</t>
  </si>
  <si>
    <r>
      <t>Coelho, Philip R. P. and James F. Shepherd. 1974. "Differences in Regional Prices: The United States, 1851-1880".</t>
    </r>
    <r>
      <rPr>
        <i/>
        <sz val="11"/>
        <color theme="1"/>
        <rFont val="Calibri"/>
        <family val="2"/>
        <scheme val="minor"/>
      </rPr>
      <t xml:space="preserve"> Journal of Economic History</t>
    </r>
    <r>
      <rPr>
        <sz val="11"/>
        <color theme="1"/>
        <rFont val="Calibri"/>
        <family val="2"/>
        <scheme val="minor"/>
      </rPr>
      <t xml:space="preserve"> 34, 3 (September): 551-591.</t>
    </r>
  </si>
  <si>
    <t>WNC = St. Louis, Bonne Terre (MO), Pilot Knob (MO), Cedar Rapids (IA), and Leavenworth (KS).</t>
  </si>
  <si>
    <t>percent</t>
  </si>
  <si>
    <t>South (no MO)</t>
  </si>
  <si>
    <t>¢ per kg.</t>
  </si>
  <si>
    <t>"South" excludes Missouri, and equals the three southern regions</t>
  </si>
  <si>
    <t>of the Census Bureau (South Atlantic, ESC, and WSC).</t>
  </si>
  <si>
    <t>Alternative price deflators</t>
  </si>
  <si>
    <t>See the extended "Regional household incomes" tables in the American 1650-1870 folder at gpih.ucdavis.edu.</t>
  </si>
  <si>
    <t>(in current dollars)</t>
  </si>
  <si>
    <r>
      <rPr>
        <u/>
        <sz val="12"/>
        <color theme="1"/>
        <rFont val="Cambria"/>
        <family val="1"/>
        <scheme val="major"/>
      </rPr>
      <t>Notes to Table 6-1</t>
    </r>
    <r>
      <rPr>
        <sz val="12"/>
        <color theme="1"/>
        <rFont val="Cambria"/>
        <family val="1"/>
        <scheme val="major"/>
      </rPr>
      <t>:</t>
    </r>
  </si>
  <si>
    <t>Non-wh/white</t>
  </si>
  <si>
    <t>Regional income totals 1860, with "part time" work year assumptions</t>
    <phoneticPr fontId="0" type="noConversion"/>
  </si>
  <si>
    <t>Barley</t>
  </si>
  <si>
    <t>Boards</t>
  </si>
  <si>
    <t>$ per M</t>
  </si>
  <si>
    <t>Butter</t>
  </si>
  <si>
    <t>Candles</t>
  </si>
  <si>
    <t>Coal</t>
  </si>
  <si>
    <t>$ per ton</t>
  </si>
  <si>
    <t>Coffee</t>
  </si>
  <si>
    <t>Cordage</t>
  </si>
  <si>
    <t>Flour</t>
  </si>
  <si>
    <t>$ per liter</t>
  </si>
  <si>
    <t>Gold Dust</t>
  </si>
  <si>
    <t>¢ per gram</t>
  </si>
  <si>
    <t>Gold Bars</t>
  </si>
  <si>
    <t>¢ per gramc</t>
  </si>
  <si>
    <t>Gunpowder</t>
  </si>
  <si>
    <t>¢ per liter</t>
  </si>
  <si>
    <t>Hams</t>
  </si>
  <si>
    <t>$ each</t>
  </si>
  <si>
    <t>Soap</t>
  </si>
  <si>
    <t>Sugar</t>
  </si>
  <si>
    <t>Tea</t>
  </si>
  <si>
    <t>Tobacco</t>
  </si>
  <si>
    <t>Turpentine</t>
  </si>
  <si>
    <t xml:space="preserve">Wheat </t>
  </si>
  <si>
    <t>Whiskey</t>
  </si>
  <si>
    <t>Wool</t>
  </si>
  <si>
    <t>1848-1852</t>
  </si>
  <si>
    <t>1856-1860</t>
  </si>
  <si>
    <t>1866-1870</t>
  </si>
  <si>
    <t>Ratio,</t>
  </si>
  <si>
    <t>7.3% return on personalty</t>
  </si>
  <si>
    <t>wealth</t>
  </si>
  <si>
    <t>Personal</t>
  </si>
  <si>
    <t>Real estate</t>
  </si>
  <si>
    <t>Gross</t>
  </si>
  <si>
    <t xml:space="preserve">Total </t>
    <phoneticPr fontId="0" type="noConversion"/>
  </si>
  <si>
    <t>Numbers of</t>
    <phoneticPr fontId="0" type="noConversion"/>
  </si>
  <si>
    <t>Weighted total</t>
    <phoneticPr fontId="0" type="noConversion"/>
  </si>
  <si>
    <t>Ave h'hold</t>
  </si>
  <si>
    <t>Income/cap</t>
    <phoneticPr fontId="0" type="noConversion"/>
  </si>
  <si>
    <t>income/hh</t>
    <phoneticPr fontId="0" type="noConversion"/>
  </si>
  <si>
    <t>income/cap</t>
    <phoneticPr fontId="0" type="noConversion"/>
  </si>
  <si>
    <t>Non-farm hh's</t>
    <phoneticPr fontId="0" type="noConversion"/>
  </si>
  <si>
    <t>farm labor hh's</t>
    <phoneticPr fontId="0" type="noConversion"/>
  </si>
  <si>
    <t>farm op hh's</t>
    <phoneticPr fontId="0" type="noConversion"/>
  </si>
  <si>
    <t>all hh</t>
    <phoneticPr fontId="0" type="noConversion"/>
  </si>
  <si>
    <t>lab/tot</t>
  </si>
  <si>
    <t>profits</t>
    <phoneticPr fontId="0" type="noConversion"/>
  </si>
  <si>
    <t>farm lab</t>
  </si>
  <si>
    <t>of tot</t>
  </si>
  <si>
    <t>income</t>
    <phoneticPr fontId="0" type="noConversion"/>
  </si>
  <si>
    <t>erty income</t>
    <phoneticPr fontId="0" type="noConversion"/>
  </si>
  <si>
    <t>income</t>
    <phoneticPr fontId="0" type="noConversion"/>
  </si>
  <si>
    <t>households</t>
    <phoneticPr fontId="0" type="noConversion"/>
  </si>
  <si>
    <t>population</t>
    <phoneticPr fontId="0" type="noConversion"/>
  </si>
  <si>
    <t>size</t>
  </si>
  <si>
    <t>Current $</t>
    <phoneticPr fontId="0" type="noConversion"/>
  </si>
  <si>
    <t>property share</t>
    <phoneticPr fontId="0" type="noConversion"/>
  </si>
  <si>
    <t>Mid Atlantic</t>
  </si>
  <si>
    <t>1871-1880</t>
  </si>
  <si>
    <t>Coelho-Shepherd TABLE 4 REGIONAL INDEXES</t>
  </si>
  <si>
    <t>Other averages, for this study:</t>
  </si>
  <si>
    <t>. .</t>
  </si>
  <si>
    <t>Thinly covered regions here:</t>
  </si>
  <si>
    <t>South Atlantic = just Jacksonville FL</t>
  </si>
  <si>
    <t>Lindert 28dec'13</t>
  </si>
  <si>
    <t>However, this misleads about regions' relative prices and real incomes.  In general, prices were lower in the already-settled Central regions</t>
  </si>
  <si>
    <t>Total pop'n,</t>
  </si>
  <si>
    <r>
      <t xml:space="preserve">HSUS </t>
    </r>
    <r>
      <rPr>
        <sz val="12"/>
        <rFont val="Cambria"/>
        <family val="1"/>
      </rPr>
      <t>(mlns)</t>
    </r>
  </si>
  <si>
    <r>
      <t>Further</t>
    </r>
    <r>
      <rPr>
        <b/>
        <u/>
        <sz val="11"/>
        <color indexed="10"/>
        <rFont val="Calibri"/>
      </rPr>
      <t xml:space="preserve"> CAUTION</t>
    </r>
    <r>
      <rPr>
        <sz val="11"/>
        <color rgb="FFFF0000"/>
        <rFont val="Calibri"/>
        <family val="2"/>
        <scheme val="minor"/>
      </rPr>
      <t>: during the Greenback era, Mountain and Pacific prices were recorded in gold dollars, not greenbacks.</t>
    </r>
    <phoneticPr fontId="51" type="noConversion"/>
  </si>
  <si>
    <t>percent of total national income</t>
  </si>
  <si>
    <t>Free labor</t>
  </si>
  <si>
    <t>Realty</t>
  </si>
  <si>
    <t>Personalty</t>
  </si>
  <si>
    <t>Total prop-</t>
  </si>
  <si>
    <t>Stated total</t>
  </si>
  <si>
    <t>income</t>
  </si>
  <si>
    <t>profits</t>
  </si>
  <si>
    <t>erty income</t>
  </si>
  <si>
    <t>All households</t>
  </si>
  <si>
    <t>with slave retained earnings, no farm profits</t>
  </si>
  <si>
    <t>"Original 13" + FL =</t>
  </si>
  <si>
    <t>Total population</t>
    <phoneticPr fontId="0" type="noConversion"/>
  </si>
  <si>
    <t>Average</t>
    <phoneticPr fontId="0" type="noConversion"/>
  </si>
  <si>
    <t>Average income, current $</t>
    <phoneticPr fontId="0" type="noConversion"/>
  </si>
  <si>
    <t>(**For 1860, white = all free households headed by a person; non-white = slaves only.)</t>
  </si>
  <si>
    <t>"All South" includes Missouri.</t>
  </si>
  <si>
    <t>All households (see *CAUTION above)</t>
  </si>
  <si>
    <t>households (wtd.)</t>
    <phoneticPr fontId="0" type="noConversion"/>
  </si>
  <si>
    <t>(wtd.) in millions</t>
    <phoneticPr fontId="0" type="noConversion"/>
  </si>
  <si>
    <t>household size</t>
    <phoneticPr fontId="0" type="noConversion"/>
  </si>
  <si>
    <t>Average income, in 1840 $ (using conventional deflators)</t>
    <phoneticPr fontId="0" type="noConversion"/>
  </si>
  <si>
    <t>Free households only</t>
    <phoneticPr fontId="0" type="noConversion"/>
  </si>
  <si>
    <t>(millions of current dollars)</t>
    <phoneticPr fontId="0" type="noConversion"/>
  </si>
  <si>
    <t>||</t>
    <phoneticPr fontId="0" type="noConversion"/>
  </si>
  <si>
    <t>IPUMS file:</t>
    <phoneticPr fontId="0" type="noConversion"/>
  </si>
  <si>
    <t>average</t>
    <phoneticPr fontId="0" type="noConversion"/>
  </si>
  <si>
    <t>Free labor</t>
    <phoneticPr fontId="0" type="noConversion"/>
  </si>
  <si>
    <t>Realty</t>
    <phoneticPr fontId="0" type="noConversion"/>
  </si>
  <si>
    <t>Personalty</t>
    <phoneticPr fontId="0" type="noConversion"/>
  </si>
  <si>
    <t>Total prop-</t>
    <phoneticPr fontId="0" type="noConversion"/>
  </si>
  <si>
    <t>Stated total</t>
    <phoneticPr fontId="0" type="noConversion"/>
  </si>
  <si>
    <t>Free</t>
    <phoneticPr fontId="0" type="noConversion"/>
  </si>
  <si>
    <t>Free hh's</t>
    <phoneticPr fontId="0" type="noConversion"/>
  </si>
  <si>
    <t>Total perwt pop'n,</t>
    <phoneticPr fontId="0" type="noConversion"/>
  </si>
  <si>
    <t>household</t>
    <phoneticPr fontId="0" type="noConversion"/>
  </si>
  <si>
    <t>income</t>
    <phoneticPr fontId="0" type="noConversion"/>
  </si>
  <si>
    <t>profits</t>
    <phoneticPr fontId="0" type="noConversion"/>
  </si>
  <si>
    <t>income</t>
    <phoneticPr fontId="0" type="noConversion"/>
  </si>
  <si>
    <t>Mid Atlantic</t>
    <phoneticPr fontId="0" type="noConversion"/>
  </si>
  <si>
    <t>South Atlantic</t>
    <phoneticPr fontId="0" type="noConversion"/>
  </si>
  <si>
    <t>ENC</t>
    <phoneticPr fontId="0" type="noConversion"/>
  </si>
  <si>
    <t>US. All races</t>
    <phoneticPr fontId="0" type="noConversion"/>
  </si>
  <si>
    <t>(IPUMS,</t>
    <phoneticPr fontId="0" type="noConversion"/>
  </si>
  <si>
    <t>WNC (MO)</t>
  </si>
  <si>
    <t>Revisions, 8 June 2012 and 2 September 2012 by Brock Smith, 13 March 2013 and 30 September 2013 and December 2013 by Oscar Méndez Medina</t>
  </si>
  <si>
    <t>Property</t>
  </si>
  <si>
    <t>of total inc</t>
  </si>
  <si>
    <t>income %</t>
  </si>
  <si>
    <t>Nonwhite/white ratios</t>
  </si>
  <si>
    <t>Nominal income averages</t>
  </si>
  <si>
    <r>
      <t xml:space="preserve">not </t>
    </r>
    <r>
      <rPr>
        <i/>
        <sz val="10"/>
        <rFont val="Calibri"/>
        <family val="2"/>
        <scheme val="minor"/>
      </rPr>
      <t>HSUS</t>
    </r>
    <r>
      <rPr>
        <sz val="10"/>
        <rFont val="Calibri"/>
        <family val="2"/>
        <scheme val="minor"/>
      </rPr>
      <t>)</t>
    </r>
  </si>
  <si>
    <t>Mountain</t>
    <phoneticPr fontId="0" type="noConversion"/>
  </si>
  <si>
    <t>Mountain</t>
  </si>
  <si>
    <t>Pacific</t>
  </si>
  <si>
    <t>USA</t>
    <phoneticPr fontId="0" type="noConversion"/>
  </si>
  <si>
    <t>South Atlantic</t>
    <phoneticPr fontId="0" type="noConversion"/>
  </si>
  <si>
    <t>WNC</t>
    <phoneticPr fontId="0" type="noConversion"/>
  </si>
  <si>
    <t>ESC</t>
    <phoneticPr fontId="0" type="noConversion"/>
  </si>
  <si>
    <t>Mountain</t>
    <phoneticPr fontId="0" type="noConversion"/>
  </si>
  <si>
    <t>Pacific</t>
    <phoneticPr fontId="0" type="noConversion"/>
  </si>
  <si>
    <t>US white</t>
    <phoneticPr fontId="0" type="noConversion"/>
  </si>
  <si>
    <t>Non-white households*</t>
    <phoneticPr fontId="0" type="noConversion"/>
  </si>
  <si>
    <t>Total incomes (current $ millions)</t>
    <phoneticPr fontId="0" type="noConversion"/>
  </si>
  <si>
    <t>US non-white</t>
    <phoneticPr fontId="0" type="noConversion"/>
  </si>
  <si>
    <t>US slave (1860 South), free non-white (1870 US)</t>
    <phoneticPr fontId="0" type="noConversion"/>
  </si>
  <si>
    <t>in millions</t>
    <phoneticPr fontId="0" type="noConversion"/>
  </si>
  <si>
    <t>New England</t>
    <phoneticPr fontId="0" type="noConversion"/>
  </si>
  <si>
    <t>capita</t>
  </si>
  <si>
    <t>household</t>
  </si>
  <si>
    <t>New England</t>
    <phoneticPr fontId="0" type="noConversion"/>
  </si>
  <si>
    <t>Mid Atlantic</t>
    <phoneticPr fontId="0" type="noConversion"/>
  </si>
  <si>
    <t>South Atlantic</t>
    <phoneticPr fontId="0" type="noConversion"/>
  </si>
  <si>
    <t>ENC</t>
    <phoneticPr fontId="0" type="noConversion"/>
  </si>
  <si>
    <t>WNC</t>
    <phoneticPr fontId="0" type="noConversion"/>
  </si>
  <si>
    <t>Hides</t>
  </si>
  <si>
    <t>Iron Bar</t>
  </si>
  <si>
    <t>Leather</t>
  </si>
  <si>
    <t>Nails Cut</t>
  </si>
  <si>
    <t>Oil Lin'd</t>
  </si>
  <si>
    <t>Pie Fruits</t>
  </si>
  <si>
    <t>¢ each</t>
  </si>
  <si>
    <t>Pork Mess</t>
  </si>
  <si>
    <t>Quicksilver</t>
  </si>
  <si>
    <t>Raisins</t>
  </si>
  <si>
    <t>New England</t>
  </si>
  <si>
    <t>66-70/'56-60</t>
  </si>
  <si>
    <t>Only 4 commod's out of 33 had ratios above 1.444, and no staples.</t>
  </si>
  <si>
    <t>Only 4 commod's out of 33 had ratios above 1.444, and none is a staple.</t>
  </si>
  <si>
    <t xml:space="preserve"> is the median 1870/1860 ratio</t>
  </si>
  <si>
    <t>1852 106 109 89 111 97</t>
  </si>
  <si>
    <t>Realty</t>
    <phoneticPr fontId="0" type="noConversion"/>
  </si>
  <si>
    <t>Personalty</t>
    <phoneticPr fontId="0" type="noConversion"/>
  </si>
  <si>
    <t>Total prop-</t>
    <phoneticPr fontId="0" type="noConversion"/>
  </si>
  <si>
    <t>Total incomes</t>
    <phoneticPr fontId="51" type="noConversion"/>
  </si>
  <si>
    <t>agree with PUP, Table 6-1</t>
    <phoneticPr fontId="51" type="noConversion"/>
  </si>
  <si>
    <t>White incomes agree with those in table 6-3 of PUP, 16dec2015</t>
    <phoneticPr fontId="51" type="noConversion"/>
  </si>
  <si>
    <t>total</t>
  </si>
  <si>
    <t>Private wealth</t>
  </si>
  <si>
    <t>as a % of one</t>
  </si>
  <si>
    <t>year's GNI =</t>
  </si>
  <si>
    <r>
      <rPr>
        <sz val="12"/>
        <color theme="1"/>
        <rFont val="Calibri"/>
        <family val="2"/>
        <scheme val="minor"/>
      </rPr>
      <t xml:space="preserve">cf </t>
    </r>
    <r>
      <rPr>
        <sz val="12"/>
        <color theme="1"/>
        <rFont val="Calibri"/>
        <family val="2"/>
        <scheme val="minor"/>
      </rPr>
      <t>Piketty-Zucman --&gt;</t>
    </r>
  </si>
  <si>
    <t>All South (excl MO)</t>
  </si>
  <si>
    <t>"All South"excludes Missouri.</t>
  </si>
  <si>
    <r>
      <t xml:space="preserve">Here using 1840 = 100, 1860 deflator = 106; 1870 deflator = 106 *130/90 </t>
    </r>
    <r>
      <rPr>
        <sz val="12"/>
        <color indexed="10"/>
        <rFont val="Calibri"/>
        <family val="2"/>
      </rPr>
      <t xml:space="preserve">= 153.1 </t>
    </r>
    <r>
      <rPr>
        <sz val="12"/>
        <color indexed="10"/>
        <rFont val="Calibri"/>
        <family val="2"/>
        <scheme val="minor"/>
      </rPr>
      <t>for all regions, based on the David/Solar or Weiss indices.</t>
    </r>
    <phoneticPr fontId="51" type="noConversion"/>
  </si>
  <si>
    <t>1860 free and 1870</t>
    <phoneticPr fontId="51" type="noConversion"/>
  </si>
  <si>
    <r>
      <t>w</t>
    </r>
    <r>
      <rPr>
        <b/>
        <u/>
        <sz val="12"/>
        <rFont val="Calibri"/>
        <family val="2"/>
        <scheme val="minor"/>
      </rPr>
      <t>hite households only</t>
    </r>
    <r>
      <rPr>
        <u/>
        <sz val="12"/>
        <rFont val="Calibri"/>
        <family val="2"/>
        <scheme val="minor"/>
      </rPr>
      <t>*</t>
    </r>
    <phoneticPr fontId="51" type="noConversion"/>
  </si>
  <si>
    <r>
      <t>1860 free / 1870 w</t>
    </r>
    <r>
      <rPr>
        <b/>
        <u/>
        <sz val="12"/>
        <rFont val="Calibri"/>
        <family val="2"/>
        <scheme val="minor"/>
      </rPr>
      <t>hite households only</t>
    </r>
    <r>
      <rPr>
        <u/>
        <sz val="12"/>
        <rFont val="Calibri"/>
        <family val="2"/>
        <scheme val="minor"/>
      </rPr>
      <t>**</t>
    </r>
    <phoneticPr fontId="51" type="noConversion"/>
  </si>
  <si>
    <r>
      <t>1860 slave / 1870 n</t>
    </r>
    <r>
      <rPr>
        <b/>
        <u/>
        <sz val="12"/>
        <rFont val="Calibri"/>
        <family val="2"/>
        <scheme val="minor"/>
      </rPr>
      <t>on-white households**</t>
    </r>
    <phoneticPr fontId="51" type="noConversion"/>
  </si>
  <si>
    <t>South Atlantic</t>
  </si>
  <si>
    <t>South Atlantic w/o FL</t>
  </si>
  <si>
    <t>Original 13</t>
  </si>
  <si>
    <t>1853 112 105 88 106 94</t>
  </si>
  <si>
    <t>1854 119 109 84 100 87</t>
  </si>
  <si>
    <t>1855 118 108 87 112 92</t>
  </si>
  <si>
    <t>1861 108 102 94 93 112</t>
  </si>
  <si>
    <t>1862 103 95 97 100 114</t>
  </si>
  <si>
    <t>1863 95 95 98 108 117</t>
  </si>
  <si>
    <t>1864 101 101 94 100 106</t>
  </si>
  <si>
    <t>1865 102 104 93 98 105</t>
  </si>
  <si>
    <t>1871 110 107 93 101 85 150</t>
  </si>
  <si>
    <t>1872 107 107 93 101 80 147</t>
  </si>
  <si>
    <t>1873 111 107 91 101 83 138</t>
  </si>
  <si>
    <t>1874 112 107 91 101 82 143</t>
  </si>
  <si>
    <t>1875 113 105 91 99 82 140</t>
  </si>
  <si>
    <t>1876 108 104 92 99 86 141</t>
  </si>
  <si>
    <t>1877 109 105 92 102 89 141</t>
  </si>
  <si>
    <t>US free/white</t>
    <phoneticPr fontId="0" type="noConversion"/>
  </si>
  <si>
    <t>North</t>
    <phoneticPr fontId="51" type="noConversion"/>
  </si>
  <si>
    <t>West</t>
    <phoneticPr fontId="51" type="noConversion"/>
  </si>
  <si>
    <t>Implied total</t>
    <phoneticPr fontId="0" type="noConversion"/>
  </si>
  <si>
    <t>(**From 1860 file</t>
    <phoneticPr fontId="0" type="noConversion"/>
  </si>
  <si>
    <t>Slave retained earnings</t>
    <phoneticPr fontId="0" type="noConversion"/>
  </si>
  <si>
    <t>per capita</t>
    <phoneticPr fontId="51" type="noConversion"/>
  </si>
  <si>
    <t>Slave</t>
    <phoneticPr fontId="0" type="noConversion"/>
  </si>
  <si>
    <t>(millions)</t>
    <phoneticPr fontId="0" type="noConversion"/>
  </si>
  <si>
    <t>pop'n (millions)</t>
    <phoneticPr fontId="0" type="noConversion"/>
  </si>
  <si>
    <t>size**</t>
    <phoneticPr fontId="0" type="noConversion"/>
  </si>
  <si>
    <t>"Slave HH totals by region")</t>
    <phoneticPr fontId="0" type="noConversion"/>
  </si>
  <si>
    <t>South Atlantic</t>
    <phoneticPr fontId="0" type="noConversion"/>
  </si>
  <si>
    <t>ESC</t>
    <phoneticPr fontId="0" type="noConversion"/>
  </si>
  <si>
    <t>WSC</t>
    <phoneticPr fontId="0" type="noConversion"/>
  </si>
  <si>
    <t>WNC (MO)</t>
    <phoneticPr fontId="0" type="noConversion"/>
  </si>
  <si>
    <t>Subtotal</t>
    <phoneticPr fontId="0" type="noConversion"/>
  </si>
  <si>
    <t>US slave retained earnings</t>
    <phoneticPr fontId="0" type="noConversion"/>
  </si>
  <si>
    <t>All hh's</t>
    <phoneticPr fontId="0" type="noConversion"/>
  </si>
  <si>
    <t>with slave retained earnings and farm profits</t>
  </si>
  <si>
    <t>"Method 2"</t>
    <phoneticPr fontId="0" type="noConversion"/>
  </si>
  <si>
    <t xml:space="preserve">Using </t>
  </si>
  <si>
    <t>(millions of current dollars, weighted)</t>
    <phoneticPr fontId="0" type="noConversion"/>
  </si>
  <si>
    <t>Checking --</t>
  </si>
  <si>
    <t>real_numperhh</t>
  </si>
  <si>
    <t>1870 income / capita by type</t>
    <phoneticPr fontId="0" type="noConversion"/>
  </si>
  <si>
    <t>White households only</t>
    <phoneticPr fontId="0" type="noConversion"/>
  </si>
  <si>
    <t>Farm</t>
  </si>
  <si>
    <t>(sum individual perwt)</t>
  </si>
  <si>
    <t>Own-labor</t>
    <phoneticPr fontId="0" type="noConversion"/>
  </si>
  <si>
    <t>Own-labor</t>
    <phoneticPr fontId="0" type="noConversion"/>
  </si>
  <si>
    <t>Average income, in 1840 $</t>
    <phoneticPr fontId="0" type="noConversion"/>
  </si>
  <si>
    <t>(current $ millions)</t>
    <phoneticPr fontId="0" type="noConversion"/>
  </si>
  <si>
    <t>All</t>
    <phoneticPr fontId="0" type="noConversion"/>
  </si>
  <si>
    <t>Current $</t>
    <phoneticPr fontId="0" type="noConversion"/>
  </si>
  <si>
    <t>1840 $</t>
    <phoneticPr fontId="0" type="noConversion"/>
  </si>
  <si>
    <t>Mid Atlantic</t>
    <phoneticPr fontId="0" type="noConversion"/>
  </si>
  <si>
    <t>South Atlantic</t>
    <phoneticPr fontId="0" type="noConversion"/>
  </si>
  <si>
    <t>ENC</t>
    <phoneticPr fontId="0" type="noConversion"/>
  </si>
  <si>
    <t>USA</t>
    <phoneticPr fontId="0" type="noConversion"/>
  </si>
  <si>
    <t>Farm</t>
    <phoneticPr fontId="0" type="noConversion"/>
  </si>
  <si>
    <t xml:space="preserve">Conclusion:  These prices were not greenback prices in 1870, </t>
    <phoneticPr fontId="51" type="noConversion"/>
  </si>
  <si>
    <t>or at least not as much so as the usual US indices like David-Solar or WPI.</t>
    <phoneticPr fontId="51" type="noConversion"/>
  </si>
  <si>
    <t>Share, 1860</t>
    <phoneticPr fontId="0" type="noConversion"/>
  </si>
  <si>
    <t>Share, 1800</t>
    <phoneticPr fontId="0" type="noConversion"/>
  </si>
  <si>
    <t>million $</t>
    <phoneticPr fontId="0" type="noConversion"/>
  </si>
  <si>
    <t>Share, 1774</t>
    <phoneticPr fontId="0" type="noConversion"/>
  </si>
  <si>
    <t>Total pop'n,</t>
    <phoneticPr fontId="0" type="noConversion"/>
  </si>
  <si>
    <t>IPUMS (mlns)</t>
    <phoneticPr fontId="0" type="noConversion"/>
  </si>
  <si>
    <t xml:space="preserve">percents = </t>
    <phoneticPr fontId="51" type="noConversion"/>
  </si>
  <si>
    <t>Incomes agree with</t>
    <phoneticPr fontId="51" type="noConversion"/>
  </si>
  <si>
    <t>1860 file 22may2014</t>
    <phoneticPr fontId="51" type="noConversion"/>
  </si>
  <si>
    <t>and with PUP table5-2</t>
    <phoneticPr fontId="51" type="noConversion"/>
  </si>
  <si>
    <t>Further editing by PL, 15dec2015, using 1860 file 22may2014.</t>
    <phoneticPr fontId="51" type="noConversion"/>
  </si>
  <si>
    <t>1860 incomes are</t>
    <phoneticPr fontId="51" type="noConversion"/>
  </si>
  <si>
    <t>from the regional</t>
    <phoneticPr fontId="51" type="noConversion"/>
  </si>
  <si>
    <t>income 1860 wksht</t>
    <phoneticPr fontId="51" type="noConversion"/>
  </si>
  <si>
    <t>Oscar Mendez</t>
    <phoneticPr fontId="0" type="noConversion"/>
  </si>
  <si>
    <t>and Peter</t>
    <phoneticPr fontId="0" type="noConversion"/>
  </si>
  <si>
    <t>WNC (MO for 1860; full WNC for 1870)</t>
    <phoneticPr fontId="51" type="noConversion"/>
  </si>
  <si>
    <t>factor %s</t>
    <phoneticPr fontId="51" type="noConversion"/>
  </si>
  <si>
    <t>(millions of current dollars)</t>
  </si>
  <si>
    <t>Numbers of households 1860</t>
    <phoneticPr fontId="0" type="noConversion"/>
  </si>
  <si>
    <t>||</t>
    <phoneticPr fontId="0" type="noConversion"/>
  </si>
  <si>
    <t>Mar 2013, from</t>
    <phoneticPr fontId="0" type="noConversion"/>
  </si>
  <si>
    <t>the April 2012</t>
    <phoneticPr fontId="0" type="noConversion"/>
  </si>
  <si>
    <t>Implied</t>
    <phoneticPr fontId="0" type="noConversion"/>
  </si>
  <si>
    <t>erty income</t>
    <phoneticPr fontId="0" type="noConversion"/>
  </si>
  <si>
    <t>(millions)</t>
    <phoneticPr fontId="0" type="noConversion"/>
  </si>
  <si>
    <t>mlns, IPUMS</t>
    <phoneticPr fontId="0" type="noConversion"/>
  </si>
  <si>
    <t>New England</t>
    <phoneticPr fontId="0" type="noConversion"/>
  </si>
  <si>
    <t>ENC</t>
    <phoneticPr fontId="0" type="noConversion"/>
  </si>
  <si>
    <t>WNC</t>
    <phoneticPr fontId="0" type="noConversion"/>
  </si>
  <si>
    <t>ESC</t>
    <phoneticPr fontId="0" type="noConversion"/>
  </si>
  <si>
    <t>WSC</t>
    <phoneticPr fontId="0" type="noConversion"/>
  </si>
  <si>
    <t>Mountain</t>
    <phoneticPr fontId="0" type="noConversion"/>
  </si>
  <si>
    <t>Pacific</t>
    <phoneticPr fontId="0" type="noConversion"/>
  </si>
  <si>
    <t>US free</t>
    <phoneticPr fontId="0" type="noConversion"/>
  </si>
  <si>
    <t>Subtotal</t>
    <phoneticPr fontId="0" type="noConversion"/>
  </si>
  <si>
    <t>% of total nat'l inc</t>
    <phoneticPr fontId="0" type="noConversion"/>
  </si>
  <si>
    <t>% of free nat'l inc</t>
    <phoneticPr fontId="0" type="noConversion"/>
  </si>
  <si>
    <t>total minus free</t>
    <phoneticPr fontId="51" type="noConversion"/>
  </si>
  <si>
    <t>via h'hold size</t>
    <phoneticPr fontId="51" type="noConversion"/>
  </si>
  <si>
    <t>Slave income</t>
    <phoneticPr fontId="51" type="noConversion"/>
  </si>
  <si>
    <t>Slave hh**</t>
    <phoneticPr fontId="0" type="noConversion"/>
  </si>
  <si>
    <t>per household</t>
    <phoneticPr fontId="0" type="noConversion"/>
  </si>
  <si>
    <t>per capita</t>
    <phoneticPr fontId="0" type="noConversion"/>
  </si>
  <si>
    <t>Mid Atlantic</t>
    <phoneticPr fontId="0" type="noConversion"/>
  </si>
  <si>
    <t>South</t>
    <phoneticPr fontId="51" type="noConversion"/>
  </si>
  <si>
    <t>per HH</t>
    <phoneticPr fontId="51" type="noConversion"/>
  </si>
  <si>
    <t>per capita</t>
    <phoneticPr fontId="51" type="noConversion"/>
  </si>
  <si>
    <t>Annual rates, 1860 to 1870</t>
    <phoneticPr fontId="51" type="noConversion"/>
  </si>
  <si>
    <t>ESC</t>
    <phoneticPr fontId="0" type="noConversion"/>
  </si>
  <si>
    <t>WSC</t>
    <phoneticPr fontId="0" type="noConversion"/>
  </si>
  <si>
    <t>Mountain</t>
    <phoneticPr fontId="0" type="noConversion"/>
  </si>
  <si>
    <t>Pacific</t>
    <phoneticPr fontId="0" type="noConversion"/>
  </si>
  <si>
    <t>US white</t>
    <phoneticPr fontId="0" type="noConversion"/>
  </si>
  <si>
    <t>again</t>
  </si>
  <si>
    <t>Non-white households</t>
    <phoneticPr fontId="0" type="noConversion"/>
  </si>
  <si>
    <t>Farm</t>
    <phoneticPr fontId="0" type="noConversion"/>
  </si>
  <si>
    <t>US non-white</t>
    <phoneticPr fontId="0" type="noConversion"/>
  </si>
  <si>
    <t>All households</t>
    <phoneticPr fontId="0" type="noConversion"/>
  </si>
  <si>
    <t>Mid Atlantic</t>
    <phoneticPr fontId="0" type="noConversion"/>
  </si>
  <si>
    <t>ENC</t>
  </si>
  <si>
    <t>ENC</t>
    <phoneticPr fontId="0" type="noConversion"/>
  </si>
  <si>
    <t>WNC</t>
  </si>
  <si>
    <t>ESC</t>
  </si>
  <si>
    <t>WSC</t>
  </si>
  <si>
    <t>property</t>
    <phoneticPr fontId="0" type="noConversion"/>
  </si>
  <si>
    <t>Labor  earnings</t>
    <phoneticPr fontId="0" type="noConversion"/>
  </si>
  <si>
    <t>Check %</t>
  </si>
  <si>
    <t>profit /</t>
  </si>
  <si>
    <t>prof %</t>
  </si>
</sst>
</file>

<file path=xl/styles.xml><?xml version="1.0" encoding="utf-8"?>
<styleSheet xmlns="http://schemas.openxmlformats.org/spreadsheetml/2006/main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00"/>
    <numFmt numFmtId="166" formatCode="0.0"/>
    <numFmt numFmtId="167" formatCode="#,##0.000"/>
    <numFmt numFmtId="168" formatCode="#,##0.0000"/>
    <numFmt numFmtId="169" formatCode="0.0000"/>
    <numFmt numFmtId="170" formatCode="#,##0.0"/>
    <numFmt numFmtId="171" formatCode="#,##0.00"/>
    <numFmt numFmtId="172" formatCode="0.00"/>
    <numFmt numFmtId="174" formatCode="0.00"/>
    <numFmt numFmtId="175" formatCode="#,##0.00"/>
    <numFmt numFmtId="177" formatCode="#,##0.000"/>
  </numFmts>
  <fonts count="6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10"/>
      <name val="Verdana"/>
      <family val="2"/>
    </font>
    <font>
      <sz val="12"/>
      <name val="Cambria"/>
      <family val="1"/>
    </font>
    <font>
      <sz val="11"/>
      <name val="Calibri"/>
      <family val="2"/>
      <scheme val="minor"/>
    </font>
    <font>
      <i/>
      <sz val="12"/>
      <name val="Cambria"/>
    </font>
    <font>
      <sz val="12"/>
      <color indexed="10"/>
      <name val="Cambria"/>
      <family val="1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4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0080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rgb="FF8F08A8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2"/>
      <color indexed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rgb="FF008000"/>
      <name val="Calibri"/>
      <family val="2"/>
      <scheme val="minor"/>
    </font>
    <font>
      <b/>
      <sz val="14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u/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6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indexed="8"/>
      <name val="Verdana"/>
      <family val="2"/>
    </font>
    <font>
      <sz val="8"/>
      <name val="Verdana"/>
    </font>
    <font>
      <u/>
      <sz val="11"/>
      <color indexed="10"/>
      <name val="Calibri"/>
    </font>
    <font>
      <b/>
      <u/>
      <sz val="11"/>
      <color indexed="10"/>
      <name val="Calibri"/>
    </font>
    <font>
      <sz val="11"/>
      <color indexed="8"/>
      <name val="Calibri"/>
      <family val="2"/>
    </font>
    <font>
      <b/>
      <u/>
      <sz val="12"/>
      <name val="Cambria"/>
      <family val="1"/>
    </font>
    <font>
      <sz val="12"/>
      <color indexed="8"/>
      <name val="Cambria"/>
      <family val="1"/>
    </font>
    <font>
      <sz val="12"/>
      <color indexed="56"/>
      <name val="Cambria"/>
      <family val="1"/>
    </font>
    <font>
      <sz val="11"/>
      <color indexed="10"/>
      <name val="Calibri"/>
      <family val="2"/>
    </font>
    <font>
      <sz val="12"/>
      <name val="Calibri"/>
      <family val="2"/>
    </font>
    <font>
      <sz val="10"/>
      <color indexed="10"/>
      <name val="Calibri"/>
      <family val="2"/>
    </font>
    <font>
      <b/>
      <sz val="12"/>
      <name val="Calibri"/>
      <family val="2"/>
    </font>
    <font>
      <sz val="12"/>
      <color indexed="10"/>
      <name val="Calibri"/>
      <family val="2"/>
    </font>
    <font>
      <b/>
      <u/>
      <sz val="12"/>
      <name val="Calibri"/>
      <family val="2"/>
    </font>
    <font>
      <b/>
      <u/>
      <sz val="12"/>
      <color indexed="10"/>
      <name val="Calibri"/>
    </font>
    <font>
      <u/>
      <sz val="12"/>
      <color indexed="8"/>
      <name val="Cambria"/>
      <family val="1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859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55">
    <xf numFmtId="0" fontId="0" fillId="0" borderId="0" xfId="0"/>
    <xf numFmtId="164" fontId="5" fillId="0" borderId="0" xfId="0" applyNumberFormat="1" applyFon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/>
    <xf numFmtId="0" fontId="6" fillId="0" borderId="0" xfId="0" applyFont="1" applyAlignment="1">
      <alignment horizontal="right"/>
    </xf>
    <xf numFmtId="166" fontId="0" fillId="0" borderId="0" xfId="0" applyNumberFormat="1"/>
    <xf numFmtId="2" fontId="0" fillId="0" borderId="0" xfId="0" applyNumberFormat="1"/>
    <xf numFmtId="165" fontId="0" fillId="0" borderId="0" xfId="0" applyNumberFormat="1"/>
    <xf numFmtId="0" fontId="6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0" fillId="0" borderId="0" xfId="0" applyNumberFormat="1" applyFill="1"/>
    <xf numFmtId="165" fontId="5" fillId="0" borderId="0" xfId="0" applyNumberFormat="1" applyFont="1"/>
    <xf numFmtId="165" fontId="0" fillId="0" borderId="0" xfId="0" applyNumberFormat="1" applyAlignment="1">
      <alignment horizontal="center"/>
    </xf>
    <xf numFmtId="17" fontId="0" fillId="0" borderId="0" xfId="0" applyNumberFormat="1"/>
    <xf numFmtId="165" fontId="0" fillId="0" borderId="0" xfId="0" applyNumberFormat="1" applyAlignment="1">
      <alignment horizontal="right"/>
    </xf>
    <xf numFmtId="0" fontId="8" fillId="0" borderId="0" xfId="0" applyFont="1" applyAlignment="1">
      <alignment horizontal="right"/>
    </xf>
    <xf numFmtId="166" fontId="6" fillId="0" borderId="0" xfId="0" applyNumberFormat="1" applyFont="1"/>
    <xf numFmtId="2" fontId="6" fillId="0" borderId="1" xfId="0" applyNumberFormat="1" applyFont="1" applyBorder="1"/>
    <xf numFmtId="2" fontId="6" fillId="0" borderId="0" xfId="0" applyNumberFormat="1" applyFont="1" applyBorder="1"/>
    <xf numFmtId="2" fontId="6" fillId="0" borderId="2" xfId="0" applyNumberFormat="1" applyFont="1" applyBorder="1"/>
    <xf numFmtId="2" fontId="6" fillId="0" borderId="3" xfId="0" applyNumberFormat="1" applyFont="1" applyBorder="1"/>
    <xf numFmtId="2" fontId="6" fillId="0" borderId="0" xfId="0" applyNumberFormat="1" applyFont="1"/>
    <xf numFmtId="164" fontId="9" fillId="0" borderId="0" xfId="0" applyNumberFormat="1" applyFont="1" applyBorder="1"/>
    <xf numFmtId="164" fontId="6" fillId="0" borderId="6" xfId="0" applyNumberFormat="1" applyFont="1" applyBorder="1"/>
    <xf numFmtId="0" fontId="11" fillId="0" borderId="0" xfId="0" applyFont="1"/>
    <xf numFmtId="164" fontId="11" fillId="0" borderId="0" xfId="0" applyNumberFormat="1" applyFont="1" applyAlignment="1">
      <alignment horizontal="right"/>
    </xf>
    <xf numFmtId="164" fontId="11" fillId="0" borderId="0" xfId="0" applyNumberFormat="1" applyFont="1"/>
    <xf numFmtId="0" fontId="11" fillId="0" borderId="0" xfId="0" applyFont="1" applyAlignment="1">
      <alignment horizontal="right"/>
    </xf>
    <xf numFmtId="165" fontId="11" fillId="0" borderId="0" xfId="0" applyNumberFormat="1" applyFont="1"/>
    <xf numFmtId="0" fontId="0" fillId="0" borderId="0" xfId="0" applyFont="1" applyBorder="1"/>
    <xf numFmtId="0" fontId="0" fillId="0" borderId="0" xfId="0" applyFont="1"/>
    <xf numFmtId="3" fontId="0" fillId="0" borderId="0" xfId="0" applyNumberFormat="1" applyFont="1"/>
    <xf numFmtId="164" fontId="0" fillId="0" borderId="0" xfId="0" applyNumberFormat="1" applyFont="1"/>
    <xf numFmtId="164" fontId="14" fillId="0" borderId="0" xfId="0" applyNumberFormat="1" applyFont="1"/>
    <xf numFmtId="0" fontId="16" fillId="0" borderId="0" xfId="0" applyFont="1"/>
    <xf numFmtId="164" fontId="17" fillId="0" borderId="0" xfId="0" applyNumberFormat="1" applyFont="1"/>
    <xf numFmtId="165" fontId="18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164" fontId="17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1" fontId="19" fillId="0" borderId="0" xfId="0" applyNumberFormat="1" applyFont="1" applyAlignment="1">
      <alignment horizontal="right"/>
    </xf>
    <xf numFmtId="1" fontId="19" fillId="0" borderId="0" xfId="0" applyNumberFormat="1" applyFo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164" fontId="0" fillId="0" borderId="0" xfId="0" applyNumberFormat="1" applyFont="1" applyFill="1" applyAlignment="1">
      <alignment horizontal="right"/>
    </xf>
    <xf numFmtId="164" fontId="0" fillId="0" borderId="0" xfId="0" applyNumberFormat="1" applyFont="1" applyFill="1"/>
    <xf numFmtId="0" fontId="0" fillId="0" borderId="0" xfId="0" applyFont="1" applyFill="1"/>
    <xf numFmtId="165" fontId="0" fillId="0" borderId="0" xfId="0" applyNumberFormat="1" applyFont="1" applyFill="1"/>
    <xf numFmtId="166" fontId="0" fillId="0" borderId="0" xfId="0" applyNumberFormat="1" applyFont="1"/>
    <xf numFmtId="2" fontId="0" fillId="0" borderId="0" xfId="0" applyNumberFormat="1" applyFont="1"/>
    <xf numFmtId="0" fontId="17" fillId="0" borderId="0" xfId="0" applyFont="1"/>
    <xf numFmtId="164" fontId="0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left"/>
    </xf>
    <xf numFmtId="0" fontId="0" fillId="0" borderId="0" xfId="0" applyFont="1" applyAlignment="1">
      <alignment horizontal="right"/>
    </xf>
    <xf numFmtId="165" fontId="0" fillId="0" borderId="0" xfId="0" applyNumberFormat="1" applyFont="1"/>
    <xf numFmtId="164" fontId="20" fillId="0" borderId="0" xfId="0" applyNumberFormat="1" applyFont="1"/>
    <xf numFmtId="0" fontId="21" fillId="0" borderId="0" xfId="0" applyFont="1"/>
    <xf numFmtId="3" fontId="23" fillId="0" borderId="0" xfId="0" applyNumberFormat="1" applyFont="1"/>
    <xf numFmtId="0" fontId="23" fillId="0" borderId="0" xfId="0" applyFont="1"/>
    <xf numFmtId="0" fontId="24" fillId="0" borderId="0" xfId="0" applyFont="1"/>
    <xf numFmtId="3" fontId="25" fillId="0" borderId="0" xfId="0" applyNumberFormat="1" applyFont="1"/>
    <xf numFmtId="2" fontId="0" fillId="0" borderId="0" xfId="0" applyNumberFormat="1" applyAlignment="1">
      <alignment horizontal="right"/>
    </xf>
    <xf numFmtId="0" fontId="25" fillId="0" borderId="0" xfId="0" applyFont="1"/>
    <xf numFmtId="0" fontId="26" fillId="0" borderId="0" xfId="0" applyFont="1"/>
    <xf numFmtId="166" fontId="0" fillId="0" borderId="0" xfId="0" applyNumberFormat="1" applyAlignment="1">
      <alignment horizontal="right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0" fillId="2" borderId="0" xfId="0" applyFont="1" applyFill="1"/>
    <xf numFmtId="0" fontId="23" fillId="2" borderId="0" xfId="0" applyFont="1" applyFill="1"/>
    <xf numFmtId="2" fontId="0" fillId="0" borderId="0" xfId="0" applyNumberFormat="1" applyFont="1" applyFill="1"/>
    <xf numFmtId="0" fontId="32" fillId="0" borderId="0" xfId="0" applyFont="1"/>
    <xf numFmtId="0" fontId="10" fillId="0" borderId="0" xfId="0" applyFont="1"/>
    <xf numFmtId="165" fontId="11" fillId="0" borderId="0" xfId="0" applyNumberFormat="1" applyFont="1" applyFill="1"/>
    <xf numFmtId="0" fontId="11" fillId="0" borderId="0" xfId="0" applyFont="1" applyAlignment="1">
      <alignment horizontal="left"/>
    </xf>
    <xf numFmtId="165" fontId="6" fillId="0" borderId="0" xfId="0" applyNumberFormat="1" applyFont="1" applyFill="1"/>
    <xf numFmtId="0" fontId="34" fillId="0" borderId="0" xfId="0" applyFont="1"/>
    <xf numFmtId="164" fontId="35" fillId="0" borderId="0" xfId="0" applyNumberFormat="1" applyFont="1"/>
    <xf numFmtId="0" fontId="36" fillId="0" borderId="0" xfId="0" applyFont="1" applyAlignment="1">
      <alignment horizontal="right"/>
    </xf>
    <xf numFmtId="165" fontId="18" fillId="0" borderId="0" xfId="0" applyNumberFormat="1" applyFont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 applyFill="1" applyAlignment="1">
      <alignment horizontal="right"/>
    </xf>
    <xf numFmtId="0" fontId="21" fillId="0" borderId="0" xfId="0" applyFont="1" applyAlignment="1">
      <alignment horizontal="left"/>
    </xf>
    <xf numFmtId="3" fontId="0" fillId="0" borderId="0" xfId="0" applyNumberFormat="1" applyFont="1" applyFill="1"/>
    <xf numFmtId="166" fontId="0" fillId="0" borderId="0" xfId="0" applyNumberFormat="1" applyFont="1" applyFill="1"/>
    <xf numFmtId="164" fontId="37" fillId="0" borderId="0" xfId="0" applyNumberFormat="1" applyFont="1" applyFill="1" applyAlignment="1">
      <alignment horizontal="right"/>
    </xf>
    <xf numFmtId="4" fontId="37" fillId="0" borderId="0" xfId="0" applyNumberFormat="1" applyFont="1" applyFill="1"/>
    <xf numFmtId="164" fontId="37" fillId="0" borderId="0" xfId="0" applyNumberFormat="1" applyFont="1" applyFill="1"/>
    <xf numFmtId="165" fontId="21" fillId="0" borderId="0" xfId="0" applyNumberFormat="1" applyFont="1"/>
    <xf numFmtId="0" fontId="21" fillId="0" borderId="0" xfId="0" applyFont="1" applyFill="1"/>
    <xf numFmtId="164" fontId="20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3" fontId="7" fillId="0" borderId="0" xfId="0" applyNumberFormat="1" applyFont="1"/>
    <xf numFmtId="0" fontId="7" fillId="0" borderId="0" xfId="0" applyFont="1"/>
    <xf numFmtId="0" fontId="0" fillId="0" borderId="0" xfId="0" applyFont="1" applyFill="1" applyAlignment="1">
      <alignment horizontal="right"/>
    </xf>
    <xf numFmtId="0" fontId="11" fillId="0" borderId="1" xfId="0" applyFont="1" applyBorder="1"/>
    <xf numFmtId="0" fontId="11" fillId="0" borderId="2" xfId="0" applyFont="1" applyBorder="1"/>
    <xf numFmtId="164" fontId="31" fillId="0" borderId="0" xfId="0" applyNumberFormat="1" applyFont="1"/>
    <xf numFmtId="164" fontId="40" fillId="2" borderId="0" xfId="0" applyNumberFormat="1" applyFont="1" applyFill="1"/>
    <xf numFmtId="164" fontId="39" fillId="2" borderId="0" xfId="0" applyNumberFormat="1" applyFont="1" applyFill="1" applyAlignment="1">
      <alignment horizontal="right"/>
    </xf>
    <xf numFmtId="164" fontId="41" fillId="2" borderId="0" xfId="0" applyNumberFormat="1" applyFont="1" applyFill="1"/>
    <xf numFmtId="164" fontId="41" fillId="2" borderId="0" xfId="0" applyNumberFormat="1" applyFont="1" applyFill="1" applyAlignment="1">
      <alignment horizontal="right"/>
    </xf>
    <xf numFmtId="0" fontId="16" fillId="2" borderId="0" xfId="0" applyFont="1" applyFill="1"/>
    <xf numFmtId="164" fontId="42" fillId="2" borderId="0" xfId="0" applyNumberFormat="1" applyFont="1" applyFill="1"/>
    <xf numFmtId="0" fontId="41" fillId="2" borderId="0" xfId="0" applyFont="1" applyFill="1"/>
    <xf numFmtId="164" fontId="16" fillId="2" borderId="0" xfId="0" applyNumberFormat="1" applyFont="1" applyFill="1"/>
    <xf numFmtId="0" fontId="43" fillId="0" borderId="0" xfId="0" applyFont="1" applyAlignment="1">
      <alignment horizontal="left"/>
    </xf>
    <xf numFmtId="0" fontId="43" fillId="0" borderId="0" xfId="0" applyFont="1" applyAlignment="1">
      <alignment horizontal="right"/>
    </xf>
    <xf numFmtId="0" fontId="41" fillId="3" borderId="0" xfId="0" applyFont="1" applyFill="1"/>
    <xf numFmtId="1" fontId="30" fillId="0" borderId="0" xfId="0" applyNumberFormat="1" applyFont="1"/>
    <xf numFmtId="0" fontId="44" fillId="0" borderId="0" xfId="0" applyFont="1"/>
    <xf numFmtId="0" fontId="44" fillId="0" borderId="0" xfId="0" applyFont="1" applyAlignment="1">
      <alignment horizontal="left"/>
    </xf>
    <xf numFmtId="0" fontId="44" fillId="0" borderId="0" xfId="0" applyFont="1" applyAlignment="1">
      <alignment horizontal="right"/>
    </xf>
    <xf numFmtId="0" fontId="45" fillId="0" borderId="0" xfId="0" applyFont="1" applyAlignment="1">
      <alignment horizontal="right"/>
    </xf>
    <xf numFmtId="166" fontId="44" fillId="0" borderId="0" xfId="0" applyNumberFormat="1" applyFont="1"/>
    <xf numFmtId="0" fontId="46" fillId="0" borderId="0" xfId="0" applyFont="1"/>
    <xf numFmtId="0" fontId="46" fillId="0" borderId="0" xfId="0" applyFont="1" applyAlignment="1">
      <alignment horizontal="right"/>
    </xf>
    <xf numFmtId="166" fontId="47" fillId="0" borderId="0" xfId="0" applyNumberFormat="1" applyFont="1"/>
    <xf numFmtId="165" fontId="44" fillId="0" borderId="0" xfId="0" applyNumberFormat="1" applyFont="1"/>
    <xf numFmtId="0" fontId="45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48" fillId="0" borderId="0" xfId="0" applyFont="1"/>
    <xf numFmtId="164" fontId="4" fillId="0" borderId="0" xfId="0" applyNumberFormat="1" applyFont="1" applyAlignment="1">
      <alignment horizontal="right"/>
    </xf>
    <xf numFmtId="164" fontId="11" fillId="0" borderId="7" xfId="0" applyNumberFormat="1" applyFont="1" applyBorder="1"/>
    <xf numFmtId="164" fontId="41" fillId="2" borderId="7" xfId="0" applyNumberFormat="1" applyFont="1" applyFill="1" applyBorder="1"/>
    <xf numFmtId="164" fontId="4" fillId="0" borderId="0" xfId="0" applyNumberFormat="1" applyFont="1"/>
    <xf numFmtId="0" fontId="4" fillId="0" borderId="0" xfId="0" applyFont="1"/>
    <xf numFmtId="166" fontId="4" fillId="0" borderId="7" xfId="0" applyNumberFormat="1" applyFont="1" applyBorder="1"/>
    <xf numFmtId="164" fontId="16" fillId="0" borderId="0" xfId="0" applyNumberFormat="1" applyFont="1" applyAlignment="1">
      <alignment horizontal="left"/>
    </xf>
    <xf numFmtId="166" fontId="4" fillId="0" borderId="0" xfId="0" applyNumberFormat="1" applyFont="1" applyBorder="1"/>
    <xf numFmtId="164" fontId="2" fillId="0" borderId="0" xfId="0" applyNumberFormat="1" applyFont="1" applyAlignment="1">
      <alignment horizontal="right"/>
    </xf>
    <xf numFmtId="0" fontId="11" fillId="0" borderId="3" xfId="0" applyFont="1" applyFill="1" applyBorder="1"/>
    <xf numFmtId="164" fontId="11" fillId="0" borderId="0" xfId="0" applyNumberFormat="1" applyFont="1" applyAlignment="1">
      <alignment horizontal="center"/>
    </xf>
    <xf numFmtId="166" fontId="0" fillId="0" borderId="0" xfId="0" applyNumberFormat="1" applyFill="1"/>
    <xf numFmtId="164" fontId="50" fillId="0" borderId="0" xfId="0" applyNumberFormat="1" applyFont="1" applyFill="1"/>
    <xf numFmtId="164" fontId="21" fillId="0" borderId="0" xfId="0" applyNumberFormat="1" applyFont="1" applyFill="1"/>
    <xf numFmtId="164" fontId="0" fillId="0" borderId="0" xfId="0" applyNumberFormat="1" applyFont="1" applyFill="1" applyAlignment="1">
      <alignment horizontal="left"/>
    </xf>
    <xf numFmtId="164" fontId="21" fillId="0" borderId="0" xfId="0" applyNumberFormat="1" applyFont="1" applyFill="1" applyAlignment="1">
      <alignment horizontal="left"/>
    </xf>
    <xf numFmtId="164" fontId="21" fillId="0" borderId="0" xfId="0" applyNumberFormat="1" applyFont="1" applyFill="1" applyAlignment="1">
      <alignment horizontal="right"/>
    </xf>
    <xf numFmtId="164" fontId="0" fillId="2" borderId="0" xfId="0" applyNumberFormat="1" applyFont="1" applyFill="1"/>
    <xf numFmtId="2" fontId="0" fillId="4" borderId="0" xfId="0" applyNumberFormat="1" applyFont="1" applyFill="1"/>
    <xf numFmtId="3" fontId="0" fillId="0" borderId="0" xfId="0" applyNumberFormat="1"/>
    <xf numFmtId="0" fontId="52" fillId="0" borderId="0" xfId="0" applyFont="1"/>
    <xf numFmtId="164" fontId="55" fillId="0" borderId="0" xfId="0" applyNumberFormat="1" applyFont="1"/>
    <xf numFmtId="0" fontId="55" fillId="0" borderId="0" xfId="0" applyFont="1"/>
    <xf numFmtId="0" fontId="56" fillId="0" borderId="0" xfId="0" applyFont="1"/>
    <xf numFmtId="164" fontId="56" fillId="0" borderId="0" xfId="0" applyNumberFormat="1" applyFont="1"/>
    <xf numFmtId="164" fontId="9" fillId="0" borderId="0" xfId="0" applyNumberFormat="1" applyFont="1" applyAlignment="1">
      <alignment horizontal="right"/>
    </xf>
    <xf numFmtId="165" fontId="56" fillId="0" borderId="0" xfId="0" applyNumberFormat="1" applyFont="1" applyAlignment="1">
      <alignment horizontal="center"/>
    </xf>
    <xf numFmtId="0" fontId="56" fillId="0" borderId="0" xfId="0" applyFont="1" applyAlignment="1">
      <alignment horizontal="right"/>
    </xf>
    <xf numFmtId="164" fontId="56" fillId="0" borderId="0" xfId="0" applyNumberFormat="1" applyFont="1" applyAlignment="1">
      <alignment horizontal="right"/>
    </xf>
    <xf numFmtId="164" fontId="56" fillId="0" borderId="0" xfId="0" quotePrefix="1" applyNumberFormat="1" applyFont="1" applyAlignment="1">
      <alignment horizontal="right"/>
    </xf>
    <xf numFmtId="165" fontId="56" fillId="0" borderId="0" xfId="0" applyNumberFormat="1" applyFont="1"/>
    <xf numFmtId="4" fontId="9" fillId="0" borderId="0" xfId="0" applyNumberFormat="1" applyFont="1"/>
    <xf numFmtId="164" fontId="9" fillId="0" borderId="0" xfId="0" applyNumberFormat="1" applyFont="1"/>
    <xf numFmtId="166" fontId="56" fillId="0" borderId="0" xfId="0" applyNumberFormat="1" applyFont="1"/>
    <xf numFmtId="0" fontId="56" fillId="0" borderId="0" xfId="0" applyFont="1" applyFill="1"/>
    <xf numFmtId="164" fontId="6" fillId="0" borderId="0" xfId="0" applyNumberFormat="1" applyFont="1" applyFill="1"/>
    <xf numFmtId="164" fontId="9" fillId="0" borderId="0" xfId="0" applyNumberFormat="1" applyFont="1" applyFill="1"/>
    <xf numFmtId="165" fontId="56" fillId="0" borderId="0" xfId="0" applyNumberFormat="1" applyFont="1" applyFill="1"/>
    <xf numFmtId="167" fontId="56" fillId="0" borderId="0" xfId="0" applyNumberFormat="1" applyFont="1"/>
    <xf numFmtId="0" fontId="56" fillId="0" borderId="6" xfId="0" applyFont="1" applyBorder="1" applyAlignment="1">
      <alignment horizontal="right"/>
    </xf>
    <xf numFmtId="165" fontId="56" fillId="0" borderId="6" xfId="0" applyNumberFormat="1" applyFont="1" applyBorder="1" applyAlignment="1">
      <alignment horizontal="right"/>
    </xf>
    <xf numFmtId="164" fontId="56" fillId="0" borderId="0" xfId="0" applyNumberFormat="1" applyFont="1" applyAlignment="1">
      <alignment horizontal="center"/>
    </xf>
    <xf numFmtId="165" fontId="5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168" fontId="6" fillId="0" borderId="0" xfId="0" applyNumberFormat="1" applyFont="1"/>
    <xf numFmtId="3" fontId="6" fillId="0" borderId="0" xfId="0" applyNumberFormat="1" applyFont="1" applyAlignment="1">
      <alignment horizontal="right"/>
    </xf>
    <xf numFmtId="164" fontId="56" fillId="0" borderId="0" xfId="0" applyNumberFormat="1" applyFont="1" applyFill="1"/>
    <xf numFmtId="164" fontId="58" fillId="0" borderId="0" xfId="0" applyNumberFormat="1" applyFont="1"/>
    <xf numFmtId="0" fontId="58" fillId="5" borderId="0" xfId="0" applyFont="1" applyFill="1"/>
    <xf numFmtId="165" fontId="57" fillId="0" borderId="0" xfId="0" applyNumberFormat="1" applyFont="1" applyFill="1"/>
    <xf numFmtId="0" fontId="58" fillId="0" borderId="2" xfId="0" applyFont="1" applyFill="1" applyBorder="1"/>
    <xf numFmtId="0" fontId="58" fillId="0" borderId="1" xfId="0" applyFont="1" applyBorder="1"/>
    <xf numFmtId="0" fontId="58" fillId="0" borderId="2" xfId="0" applyFont="1" applyBorder="1"/>
    <xf numFmtId="0" fontId="58" fillId="0" borderId="3" xfId="0" applyFont="1" applyBorder="1"/>
    <xf numFmtId="0" fontId="17" fillId="0" borderId="0" xfId="0" applyFont="1" applyFill="1"/>
    <xf numFmtId="3" fontId="0" fillId="0" borderId="0" xfId="0" applyNumberFormat="1" applyFont="1" applyFill="1" applyAlignment="1">
      <alignment horizontal="right"/>
    </xf>
    <xf numFmtId="167" fontId="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3" fontId="14" fillId="0" borderId="0" xfId="0" applyNumberFormat="1" applyFont="1" applyFill="1" applyAlignment="1">
      <alignment horizontal="left"/>
    </xf>
    <xf numFmtId="165" fontId="18" fillId="0" borderId="0" xfId="0" applyNumberFormat="1" applyFont="1" applyFill="1" applyAlignment="1">
      <alignment horizontal="left"/>
    </xf>
    <xf numFmtId="0" fontId="17" fillId="0" borderId="0" xfId="0" applyFont="1" applyFill="1" applyAlignment="1">
      <alignment horizontal="left"/>
    </xf>
    <xf numFmtId="3" fontId="0" fillId="0" borderId="0" xfId="0" applyNumberFormat="1" applyFont="1" applyFill="1" applyAlignment="1">
      <alignment horizontal="left"/>
    </xf>
    <xf numFmtId="164" fontId="17" fillId="0" borderId="0" xfId="0" applyNumberFormat="1" applyFont="1" applyFill="1" applyAlignment="1">
      <alignment horizontal="left"/>
    </xf>
    <xf numFmtId="1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/>
    <xf numFmtId="164" fontId="20" fillId="0" borderId="0" xfId="0" applyNumberFormat="1" applyFont="1" applyFill="1"/>
    <xf numFmtId="167" fontId="0" fillId="0" borderId="0" xfId="0" applyNumberFormat="1" applyFont="1" applyFill="1"/>
    <xf numFmtId="164" fontId="3" fillId="0" borderId="0" xfId="0" applyNumberFormat="1" applyFont="1" applyFill="1" applyAlignment="1">
      <alignment horizontal="right"/>
    </xf>
    <xf numFmtId="164" fontId="16" fillId="0" borderId="0" xfId="0" applyNumberFormat="1" applyFont="1" applyFill="1" applyAlignment="1">
      <alignment horizontal="right"/>
    </xf>
    <xf numFmtId="164" fontId="11" fillId="0" borderId="0" xfId="0" applyNumberFormat="1" applyFont="1" applyFill="1"/>
    <xf numFmtId="164" fontId="18" fillId="0" borderId="0" xfId="0" applyNumberFormat="1" applyFont="1" applyFill="1"/>
    <xf numFmtId="164" fontId="16" fillId="0" borderId="0" xfId="0" applyNumberFormat="1" applyFont="1" applyFill="1"/>
    <xf numFmtId="164" fontId="7" fillId="0" borderId="0" xfId="0" applyNumberFormat="1" applyFont="1" applyFill="1"/>
    <xf numFmtId="164" fontId="11" fillId="0" borderId="0" xfId="0" applyNumberFormat="1" applyFont="1" applyFill="1" applyAlignment="1">
      <alignment horizontal="right"/>
    </xf>
    <xf numFmtId="164" fontId="14" fillId="0" borderId="0" xfId="0" applyNumberFormat="1" applyFont="1" applyFill="1"/>
    <xf numFmtId="164" fontId="39" fillId="0" borderId="0" xfId="0" applyNumberFormat="1" applyFont="1" applyFill="1" applyAlignment="1">
      <alignment horizontal="left"/>
    </xf>
    <xf numFmtId="164" fontId="39" fillId="0" borderId="0" xfId="0" applyNumberFormat="1" applyFont="1" applyFill="1" applyAlignment="1">
      <alignment horizontal="right"/>
    </xf>
    <xf numFmtId="164" fontId="10" fillId="0" borderId="0" xfId="0" applyNumberFormat="1" applyFont="1" applyFill="1"/>
    <xf numFmtId="164" fontId="59" fillId="0" borderId="0" xfId="0" applyNumberFormat="1" applyFont="1" applyFill="1"/>
    <xf numFmtId="164" fontId="54" fillId="0" borderId="0" xfId="0" applyNumberFormat="1" applyFont="1" applyFill="1"/>
    <xf numFmtId="164" fontId="60" fillId="0" borderId="0" xfId="0" applyNumberFormat="1" applyFont="1" applyFill="1" applyAlignment="1">
      <alignment horizontal="right"/>
    </xf>
    <xf numFmtId="164" fontId="60" fillId="0" borderId="0" xfId="0" applyNumberFormat="1" applyFont="1" applyFill="1"/>
    <xf numFmtId="164" fontId="62" fillId="0" borderId="0" xfId="0" applyNumberFormat="1" applyFont="1" applyFill="1"/>
    <xf numFmtId="164" fontId="58" fillId="0" borderId="0" xfId="0" applyNumberFormat="1" applyFont="1" applyFill="1"/>
    <xf numFmtId="164" fontId="37" fillId="0" borderId="4" xfId="0" applyNumberFormat="1" applyFont="1" applyFill="1" applyBorder="1"/>
    <xf numFmtId="164" fontId="38" fillId="0" borderId="5" xfId="0" applyNumberFormat="1" applyFont="1" applyFill="1" applyBorder="1"/>
    <xf numFmtId="164" fontId="18" fillId="0" borderId="0" xfId="0" applyNumberFormat="1" applyFont="1" applyFill="1"/>
    <xf numFmtId="164" fontId="0" fillId="0" borderId="0" xfId="0" applyNumberFormat="1" applyFont="1" applyFill="1"/>
    <xf numFmtId="164" fontId="63" fillId="0" borderId="0" xfId="0" applyNumberFormat="1" applyFont="1"/>
    <xf numFmtId="164" fontId="61" fillId="0" borderId="0" xfId="0" applyNumberFormat="1" applyFont="1"/>
    <xf numFmtId="1" fontId="19" fillId="5" borderId="0" xfId="0" applyNumberFormat="1" applyFont="1" applyFill="1" applyAlignment="1">
      <alignment horizontal="right"/>
    </xf>
    <xf numFmtId="1" fontId="19" fillId="5" borderId="0" xfId="0" applyNumberFormat="1" applyFont="1" applyFill="1"/>
    <xf numFmtId="3" fontId="63" fillId="0" borderId="0" xfId="0" applyNumberFormat="1" applyFont="1" applyFill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167" fontId="0" fillId="0" borderId="0" xfId="0" applyNumberFormat="1" applyFont="1" applyFill="1" applyAlignment="1">
      <alignment horizontal="right"/>
    </xf>
    <xf numFmtId="3" fontId="0" fillId="0" borderId="0" xfId="0" applyNumberFormat="1" applyFont="1" applyBorder="1"/>
    <xf numFmtId="0" fontId="64" fillId="5" borderId="0" xfId="0" applyFont="1" applyFill="1"/>
    <xf numFmtId="164" fontId="62" fillId="5" borderId="0" xfId="0" applyNumberFormat="1" applyFont="1" applyFill="1"/>
    <xf numFmtId="164" fontId="0" fillId="0" borderId="0" xfId="0" applyNumberFormat="1" applyFont="1" applyFill="1" applyAlignment="1">
      <alignment horizontal="right"/>
    </xf>
    <xf numFmtId="167" fontId="0" fillId="0" borderId="0" xfId="0" applyNumberFormat="1" applyFont="1" applyFill="1"/>
    <xf numFmtId="0" fontId="59" fillId="0" borderId="0" xfId="0" applyFont="1"/>
    <xf numFmtId="165" fontId="0" fillId="0" borderId="0" xfId="0" applyNumberFormat="1" applyFont="1"/>
    <xf numFmtId="2" fontId="0" fillId="0" borderId="0" xfId="0" applyNumberFormat="1" applyFont="1"/>
    <xf numFmtId="0" fontId="58" fillId="0" borderId="0" xfId="0" applyFont="1"/>
    <xf numFmtId="2" fontId="58" fillId="0" borderId="0" xfId="0" applyNumberFormat="1" applyFont="1" applyAlignment="1">
      <alignment horizontal="left"/>
    </xf>
    <xf numFmtId="164" fontId="0" fillId="0" borderId="6" xfId="0" applyNumberFormat="1" applyFont="1" applyFill="1" applyBorder="1"/>
    <xf numFmtId="164" fontId="0" fillId="0" borderId="0" xfId="0" applyNumberFormat="1" applyFont="1" applyFill="1" applyBorder="1"/>
    <xf numFmtId="4" fontId="0" fillId="5" borderId="0" xfId="0" applyNumberFormat="1" applyFont="1" applyFill="1"/>
    <xf numFmtId="167" fontId="6" fillId="0" borderId="0" xfId="0" applyNumberFormat="1" applyFont="1"/>
    <xf numFmtId="171" fontId="0" fillId="0" borderId="0" xfId="0" applyNumberFormat="1" applyFont="1"/>
    <xf numFmtId="172" fontId="43" fillId="0" borderId="0" xfId="0" applyNumberFormat="1" applyFont="1"/>
    <xf numFmtId="0" fontId="65" fillId="0" borderId="0" xfId="0" applyFont="1"/>
    <xf numFmtId="174" fontId="6" fillId="0" borderId="0" xfId="0" applyNumberFormat="1" applyFont="1" applyBorder="1"/>
    <xf numFmtId="164" fontId="42" fillId="5" borderId="6" xfId="0" applyNumberFormat="1" applyFont="1" applyFill="1" applyBorder="1"/>
    <xf numFmtId="164" fontId="6" fillId="0" borderId="0" xfId="0" applyNumberFormat="1" applyFont="1" applyAlignment="1">
      <alignment horizontal="center"/>
    </xf>
    <xf numFmtId="170" fontId="56" fillId="0" borderId="0" xfId="0" applyNumberFormat="1" applyFont="1"/>
    <xf numFmtId="0" fontId="58" fillId="0" borderId="0" xfId="0" applyFont="1" applyFill="1"/>
    <xf numFmtId="164" fontId="40" fillId="0" borderId="0" xfId="0" applyNumberFormat="1" applyFont="1" applyFill="1"/>
    <xf numFmtId="164" fontId="41" fillId="0" borderId="0" xfId="0" applyNumberFormat="1" applyFont="1" applyFill="1"/>
    <xf numFmtId="164" fontId="41" fillId="0" borderId="0" xfId="0" applyNumberFormat="1" applyFont="1" applyFill="1" applyAlignment="1">
      <alignment horizontal="right"/>
    </xf>
    <xf numFmtId="0" fontId="16" fillId="0" borderId="0" xfId="0" applyFont="1" applyFill="1"/>
    <xf numFmtId="0" fontId="41" fillId="0" borderId="0" xfId="0" applyFont="1" applyFill="1"/>
    <xf numFmtId="164" fontId="42" fillId="0" borderId="0" xfId="0" applyNumberFormat="1" applyFont="1" applyFill="1"/>
    <xf numFmtId="164" fontId="67" fillId="2" borderId="0" xfId="0" applyNumberFormat="1" applyFont="1" applyFill="1"/>
    <xf numFmtId="164" fontId="66" fillId="0" borderId="0" xfId="0" applyNumberFormat="1" applyFont="1" applyFill="1"/>
    <xf numFmtId="177" fontId="0" fillId="0" borderId="0" xfId="0" applyNumberFormat="1" applyFont="1" applyFill="1" applyAlignment="1">
      <alignment horizontal="right"/>
    </xf>
    <xf numFmtId="175" fontId="0" fillId="0" borderId="0" xfId="0" applyNumberFormat="1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U58"/>
  <sheetViews>
    <sheetView workbookViewId="0">
      <selection activeCell="L10" sqref="L10:L11"/>
    </sheetView>
  </sheetViews>
  <sheetFormatPr baseColWidth="10" defaultColWidth="12.5" defaultRowHeight="14"/>
  <cols>
    <col min="1" max="1" width="19.5" customWidth="1"/>
    <col min="2" max="2" width="14.33203125" style="2" customWidth="1"/>
    <col min="3" max="3" width="5.6640625" style="2" customWidth="1"/>
    <col min="4" max="6" width="8" style="2" customWidth="1"/>
    <col min="7" max="7" width="3.1640625" style="2" customWidth="1"/>
    <col min="8" max="9" width="12.5" style="2"/>
    <col min="10" max="10" width="12.6640625" style="2" bestFit="1" customWidth="1"/>
    <col min="11" max="11" width="13" style="2" bestFit="1" customWidth="1"/>
    <col min="12" max="12" width="14.6640625" style="2" customWidth="1"/>
    <col min="13" max="13" width="19.5" style="2" customWidth="1"/>
    <col min="14" max="14" width="10.1640625" style="8" customWidth="1"/>
    <col min="15" max="15" width="19.5" customWidth="1"/>
  </cols>
  <sheetData>
    <row r="1" spans="1:20" ht="18">
      <c r="B1" s="1" t="s">
        <v>132</v>
      </c>
      <c r="C1" s="1"/>
    </row>
    <row r="2" spans="1:20" ht="18">
      <c r="B2" s="174" t="s">
        <v>249</v>
      </c>
      <c r="N2" s="13" t="s">
        <v>393</v>
      </c>
    </row>
    <row r="3" spans="1:20">
      <c r="B3" s="174"/>
      <c r="N3" s="14" t="s">
        <v>394</v>
      </c>
      <c r="O3" t="s">
        <v>395</v>
      </c>
    </row>
    <row r="4" spans="1:20">
      <c r="A4" s="175" t="s">
        <v>381</v>
      </c>
      <c r="B4" s="12" t="s">
        <v>384</v>
      </c>
      <c r="C4" s="12"/>
      <c r="D4" s="12"/>
      <c r="E4" s="12"/>
      <c r="F4" s="12"/>
      <c r="G4" s="12"/>
      <c r="H4" s="12"/>
      <c r="I4" s="12"/>
      <c r="J4" s="12"/>
      <c r="K4" s="12"/>
      <c r="L4" s="12"/>
      <c r="N4" s="14" t="s">
        <v>394</v>
      </c>
      <c r="O4" s="15" t="s">
        <v>396</v>
      </c>
      <c r="P4" s="15"/>
      <c r="Q4" s="3" t="s">
        <v>397</v>
      </c>
    </row>
    <row r="5" spans="1:20" ht="15">
      <c r="A5" s="175" t="s">
        <v>382</v>
      </c>
      <c r="B5" s="148" t="s">
        <v>226</v>
      </c>
      <c r="C5" s="148"/>
      <c r="D5" s="151"/>
      <c r="E5" s="152" t="s">
        <v>358</v>
      </c>
      <c r="F5" s="152" t="s">
        <v>358</v>
      </c>
      <c r="G5" s="151"/>
      <c r="H5" s="151" t="s">
        <v>227</v>
      </c>
      <c r="I5" s="151"/>
      <c r="J5" s="151"/>
      <c r="K5" s="151"/>
      <c r="L5" s="151"/>
      <c r="M5" s="151"/>
      <c r="N5" s="153" t="s">
        <v>228</v>
      </c>
      <c r="O5" s="150" t="s">
        <v>229</v>
      </c>
      <c r="P5" s="150"/>
      <c r="Q5" s="154" t="s">
        <v>230</v>
      </c>
      <c r="R5" s="150"/>
      <c r="S5" s="150"/>
      <c r="T5" s="150"/>
    </row>
    <row r="6" spans="1:20" ht="15">
      <c r="A6" s="175" t="s">
        <v>383</v>
      </c>
      <c r="B6" s="155" t="s">
        <v>231</v>
      </c>
      <c r="C6" s="155"/>
      <c r="D6" s="155" t="s">
        <v>371</v>
      </c>
      <c r="E6" s="152" t="s">
        <v>442</v>
      </c>
      <c r="F6" s="152" t="s">
        <v>443</v>
      </c>
      <c r="G6" s="155"/>
      <c r="H6" s="155" t="s">
        <v>232</v>
      </c>
      <c r="I6" s="155" t="s">
        <v>233</v>
      </c>
      <c r="J6" s="155" t="s">
        <v>234</v>
      </c>
      <c r="K6" s="155" t="s">
        <v>235</v>
      </c>
      <c r="L6" s="156"/>
      <c r="M6" s="149" t="s">
        <v>236</v>
      </c>
      <c r="N6" s="153" t="s">
        <v>237</v>
      </c>
      <c r="O6" s="5" t="s">
        <v>238</v>
      </c>
      <c r="P6" s="5"/>
      <c r="Q6" s="5" t="s">
        <v>239</v>
      </c>
      <c r="R6" s="150"/>
      <c r="S6" s="150"/>
      <c r="T6" s="150"/>
    </row>
    <row r="7" spans="1:20" ht="15">
      <c r="A7" s="150"/>
      <c r="B7" s="155" t="s">
        <v>240</v>
      </c>
      <c r="C7" s="155"/>
      <c r="D7" s="155" t="s">
        <v>241</v>
      </c>
      <c r="E7" s="152" t="s">
        <v>182</v>
      </c>
      <c r="F7" s="152" t="s">
        <v>183</v>
      </c>
      <c r="G7" s="155"/>
      <c r="H7" s="155" t="s">
        <v>242</v>
      </c>
      <c r="I7" s="155" t="s">
        <v>242</v>
      </c>
      <c r="J7" s="155" t="s">
        <v>398</v>
      </c>
      <c r="K7" s="155" t="s">
        <v>242</v>
      </c>
      <c r="L7" s="155"/>
      <c r="M7" s="150"/>
      <c r="N7" s="157" t="s">
        <v>399</v>
      </c>
      <c r="O7" s="5" t="s">
        <v>400</v>
      </c>
      <c r="P7" s="5"/>
      <c r="Q7" s="5" t="s">
        <v>189</v>
      </c>
      <c r="R7" s="150"/>
      <c r="S7" s="150"/>
      <c r="T7" s="150"/>
    </row>
    <row r="8" spans="1:20" ht="15">
      <c r="A8" s="150" t="s">
        <v>401</v>
      </c>
      <c r="B8" s="10">
        <f>422544490.0651/1000000</f>
        <v>422.54449006510004</v>
      </c>
      <c r="C8" s="10"/>
      <c r="D8" s="10">
        <f>69405122.08789/1000000</f>
        <v>69.405122087889993</v>
      </c>
      <c r="E8" s="158">
        <f>D8/B8</f>
        <v>0.16425518192698946</v>
      </c>
      <c r="F8" s="159">
        <f>100*D8/K8</f>
        <v>11.764873806083745</v>
      </c>
      <c r="G8" s="10"/>
      <c r="H8" s="10">
        <v>51.867625870600016</v>
      </c>
      <c r="I8" s="10">
        <v>46.117878991029933</v>
      </c>
      <c r="J8" s="10">
        <v>97.985505145079415</v>
      </c>
      <c r="K8" s="10">
        <f t="shared" ref="K8:K18" si="0">B8+D8+J8</f>
        <v>589.93511729806949</v>
      </c>
      <c r="L8" s="151"/>
      <c r="M8" s="9" t="s">
        <v>289</v>
      </c>
      <c r="N8" s="157">
        <v>0.66734580999996573</v>
      </c>
      <c r="O8" s="157">
        <v>3.1177708000002169</v>
      </c>
      <c r="P8" s="157"/>
      <c r="Q8" s="160">
        <f t="shared" ref="Q8:Q18" si="1">O8/N8</f>
        <v>4.6718968685820883</v>
      </c>
      <c r="R8" s="150"/>
      <c r="S8" s="150"/>
      <c r="T8" s="150"/>
    </row>
    <row r="9" spans="1:20" ht="15">
      <c r="A9" s="150" t="s">
        <v>418</v>
      </c>
      <c r="B9" s="10">
        <f>1054119166.125/1000000</f>
        <v>1054.119166125</v>
      </c>
      <c r="C9" s="10"/>
      <c r="D9" s="10">
        <f>137022551.5957/1000000</f>
        <v>137.02255159570001</v>
      </c>
      <c r="E9" s="158">
        <f t="shared" ref="E9:E18" si="2">D9/B9</f>
        <v>0.12998772434752556</v>
      </c>
      <c r="F9" s="159">
        <f t="shared" ref="F9:F18" si="3">100*D9/K9</f>
        <v>9.4327325871470578</v>
      </c>
      <c r="G9" s="10"/>
      <c r="H9" s="10">
        <v>157.65345827340983</v>
      </c>
      <c r="I9" s="10">
        <v>103.8332157478896</v>
      </c>
      <c r="J9" s="10">
        <v>261.48667314882914</v>
      </c>
      <c r="K9" s="10">
        <f t="shared" si="0"/>
        <v>1452.6283908695291</v>
      </c>
      <c r="L9" s="151"/>
      <c r="M9" s="9" t="s">
        <v>192</v>
      </c>
      <c r="N9" s="157">
        <v>1.498550559999952</v>
      </c>
      <c r="O9" s="157">
        <v>7.4328767899973549</v>
      </c>
      <c r="P9" s="157"/>
      <c r="Q9" s="160">
        <f t="shared" si="1"/>
        <v>4.9600440508310868</v>
      </c>
      <c r="R9" s="150"/>
      <c r="S9" s="150"/>
      <c r="T9" s="150"/>
    </row>
    <row r="10" spans="1:20" ht="15">
      <c r="A10" s="150" t="s">
        <v>260</v>
      </c>
      <c r="B10" s="10">
        <f>333856712.932/1000000</f>
        <v>333.85671293199999</v>
      </c>
      <c r="C10" s="10"/>
      <c r="D10" s="10">
        <f>84679365.49414/1000000</f>
        <v>84.679365494140001</v>
      </c>
      <c r="E10" s="158">
        <f t="shared" si="2"/>
        <v>0.25363984671887518</v>
      </c>
      <c r="F10" s="159">
        <f t="shared" si="3"/>
        <v>12.891491261248524</v>
      </c>
      <c r="G10" s="10"/>
      <c r="H10" s="10">
        <v>71.979684058600043</v>
      </c>
      <c r="I10" s="10">
        <v>166.34668963551039</v>
      </c>
      <c r="J10" s="10">
        <v>238.32637276819088</v>
      </c>
      <c r="K10" s="10">
        <f t="shared" si="0"/>
        <v>656.86245119433079</v>
      </c>
      <c r="L10" s="159" t="s">
        <v>4</v>
      </c>
      <c r="M10" s="9" t="s">
        <v>313</v>
      </c>
      <c r="N10" s="157">
        <v>0.66719432999997774</v>
      </c>
      <c r="O10" s="157">
        <v>3.5001147500000118</v>
      </c>
      <c r="P10" s="157"/>
      <c r="Q10" s="160">
        <f t="shared" si="1"/>
        <v>5.2460199264585006</v>
      </c>
      <c r="R10" s="150"/>
      <c r="S10" s="150"/>
      <c r="T10" s="150"/>
    </row>
    <row r="11" spans="1:20" ht="15">
      <c r="A11" s="150" t="s">
        <v>314</v>
      </c>
      <c r="B11" s="10">
        <f>326555547.5254/1000000</f>
        <v>326.55554752539996</v>
      </c>
      <c r="C11" s="10"/>
      <c r="D11" s="10">
        <f>82335450.40527/1000000</f>
        <v>82.335450405269995</v>
      </c>
      <c r="E11" s="158">
        <f t="shared" si="2"/>
        <v>0.25213306290215703</v>
      </c>
      <c r="F11" s="159">
        <f t="shared" si="3"/>
        <v>12.802009784786948</v>
      </c>
      <c r="G11" s="10"/>
      <c r="H11" s="10">
        <f>71172545.37458/1000000</f>
        <v>71.172545374579997</v>
      </c>
      <c r="I11" s="10">
        <f>163081180.921/1000000</f>
        <v>163.081180921</v>
      </c>
      <c r="J11" s="10">
        <f>234253725.3542/1000000</f>
        <v>234.25372535420001</v>
      </c>
      <c r="K11" s="10">
        <f t="shared" si="0"/>
        <v>643.14472328487</v>
      </c>
      <c r="L11" s="159" t="s">
        <v>5</v>
      </c>
      <c r="M11" s="9" t="s">
        <v>314</v>
      </c>
      <c r="N11" s="157">
        <f>651683.9407196/1000000</f>
        <v>0.6516839407195999</v>
      </c>
      <c r="O11" s="157">
        <f>3421532/1000000</f>
        <v>3.421532</v>
      </c>
      <c r="P11" s="157"/>
      <c r="Q11" s="160">
        <f>O11/N11</f>
        <v>5.2502935644261681</v>
      </c>
      <c r="R11" s="150"/>
      <c r="S11" s="150"/>
      <c r="T11" s="150"/>
    </row>
    <row r="12" spans="1:20" s="4" customFormat="1" ht="15">
      <c r="A12" s="161" t="s">
        <v>402</v>
      </c>
      <c r="B12" s="10">
        <f>636266043.7774/1000000</f>
        <v>636.2660437774</v>
      </c>
      <c r="C12" s="162"/>
      <c r="D12" s="162">
        <v>175.96117599399798</v>
      </c>
      <c r="E12" s="158">
        <f t="shared" si="2"/>
        <v>0.27655283150008653</v>
      </c>
      <c r="F12" s="159">
        <f t="shared" si="3"/>
        <v>17.592398060527486</v>
      </c>
      <c r="G12" s="162"/>
      <c r="H12" s="162">
        <v>129.61295268299989</v>
      </c>
      <c r="I12" s="162">
        <v>58.371256183559964</v>
      </c>
      <c r="J12" s="162">
        <v>187.98420898660945</v>
      </c>
      <c r="K12" s="162">
        <f t="shared" si="0"/>
        <v>1000.2114287580075</v>
      </c>
      <c r="L12" s="163"/>
      <c r="M12" s="9" t="s">
        <v>434</v>
      </c>
      <c r="N12" s="164">
        <v>1.3182299799999995</v>
      </c>
      <c r="O12" s="164">
        <v>6.8962973600018547</v>
      </c>
      <c r="P12" s="164"/>
      <c r="Q12" s="160">
        <f t="shared" si="1"/>
        <v>5.2314827189727984</v>
      </c>
      <c r="R12" s="161"/>
      <c r="S12" s="161"/>
      <c r="T12" s="161"/>
    </row>
    <row r="13" spans="1:20" ht="15">
      <c r="A13" s="9" t="s">
        <v>403</v>
      </c>
      <c r="B13" s="10">
        <f>206461777.6567/1000000</f>
        <v>206.46177765669998</v>
      </c>
      <c r="C13" s="10"/>
      <c r="D13" s="10">
        <f>48860173.18115/1000000</f>
        <v>48.860173181149996</v>
      </c>
      <c r="E13" s="158">
        <f t="shared" si="2"/>
        <v>0.23665481202236666</v>
      </c>
      <c r="F13" s="159">
        <f t="shared" si="3"/>
        <v>15.734177147115835</v>
      </c>
      <c r="G13" s="10"/>
      <c r="H13" s="10">
        <v>30.87707266049998</v>
      </c>
      <c r="I13" s="10">
        <v>24.336269816140003</v>
      </c>
      <c r="J13" s="10">
        <v>55.213342646540113</v>
      </c>
      <c r="K13" s="10">
        <f t="shared" si="0"/>
        <v>310.53529348439008</v>
      </c>
      <c r="L13" s="151"/>
      <c r="M13" s="9" t="s">
        <v>436</v>
      </c>
      <c r="N13" s="157">
        <v>0.3861530600000036</v>
      </c>
      <c r="O13" s="157">
        <v>2.0287468799997854</v>
      </c>
      <c r="P13" s="157"/>
      <c r="Q13" s="160">
        <f t="shared" si="1"/>
        <v>5.2537376759354606</v>
      </c>
      <c r="R13" s="150"/>
      <c r="S13" s="150"/>
      <c r="T13" s="150"/>
    </row>
    <row r="14" spans="1:20" ht="15">
      <c r="A14" s="150" t="s">
        <v>404</v>
      </c>
      <c r="B14" s="10">
        <f>234165597.6176/1000000</f>
        <v>234.16559761759999</v>
      </c>
      <c r="C14" s="10"/>
      <c r="D14" s="10">
        <f>74275367.23926/1000000</f>
        <v>74.275367239260007</v>
      </c>
      <c r="E14" s="158">
        <f t="shared" si="2"/>
        <v>0.31719162846693683</v>
      </c>
      <c r="F14" s="159">
        <f t="shared" si="3"/>
        <v>14.771599206050931</v>
      </c>
      <c r="G14" s="10"/>
      <c r="H14" s="10">
        <v>58.556457078300021</v>
      </c>
      <c r="I14" s="10">
        <v>135.82807554347997</v>
      </c>
      <c r="J14" s="10">
        <v>194.38453293240022</v>
      </c>
      <c r="K14" s="10">
        <f t="shared" si="0"/>
        <v>502.82549778926023</v>
      </c>
      <c r="L14" s="159" t="s">
        <v>6</v>
      </c>
      <c r="M14" s="9" t="s">
        <v>437</v>
      </c>
      <c r="N14" s="157">
        <v>0.48454365999999083</v>
      </c>
      <c r="O14" s="157">
        <v>2.6395764500004324</v>
      </c>
      <c r="P14" s="157"/>
      <c r="Q14" s="160">
        <f t="shared" si="1"/>
        <v>5.4475513104443101</v>
      </c>
      <c r="R14" s="150"/>
      <c r="S14" s="150"/>
      <c r="T14" s="150"/>
    </row>
    <row r="15" spans="1:20" ht="15">
      <c r="A15" s="150" t="s">
        <v>405</v>
      </c>
      <c r="B15" s="10">
        <f>144497377.7096/1000000</f>
        <v>144.49737770959999</v>
      </c>
      <c r="C15" s="10"/>
      <c r="D15" s="10">
        <f>29744044.08984/1000000</f>
        <v>29.744044089839999</v>
      </c>
      <c r="E15" s="158">
        <f t="shared" si="2"/>
        <v>0.20584487110636257</v>
      </c>
      <c r="F15" s="159">
        <f t="shared" si="3"/>
        <v>10.763574588908952</v>
      </c>
      <c r="G15" s="10"/>
      <c r="H15" s="10">
        <v>38.958123635000021</v>
      </c>
      <c r="I15" s="10">
        <v>63.140286450899993</v>
      </c>
      <c r="J15" s="10">
        <v>102.0984116280998</v>
      </c>
      <c r="K15" s="10">
        <f t="shared" si="0"/>
        <v>276.33983342753982</v>
      </c>
      <c r="L15" s="159" t="s">
        <v>4</v>
      </c>
      <c r="M15" s="9" t="s">
        <v>438</v>
      </c>
      <c r="N15" s="157">
        <v>0.21436752000000073</v>
      </c>
      <c r="O15" s="157">
        <v>1.1140502899999458</v>
      </c>
      <c r="P15" s="157"/>
      <c r="Q15" s="160">
        <f t="shared" si="1"/>
        <v>5.1969173781547786</v>
      </c>
      <c r="R15" s="150"/>
      <c r="S15" s="150"/>
      <c r="T15" s="150"/>
    </row>
    <row r="16" spans="1:20" ht="15">
      <c r="A16" s="150" t="s">
        <v>406</v>
      </c>
      <c r="B16" s="10">
        <f>37237296.09961/1000000</f>
        <v>37.237296099609999</v>
      </c>
      <c r="C16" s="10"/>
      <c r="D16" s="10">
        <f>2334517.502441/1000000</f>
        <v>2.3345175024410003</v>
      </c>
      <c r="E16" s="158">
        <f t="shared" si="2"/>
        <v>6.2692991891681704E-2</v>
      </c>
      <c r="F16" s="159">
        <f t="shared" si="3"/>
        <v>5.537388129023662</v>
      </c>
      <c r="G16" s="10"/>
      <c r="H16" s="10">
        <v>0.43399802939999987</v>
      </c>
      <c r="I16" s="10">
        <v>2.1533697019100004</v>
      </c>
      <c r="J16" s="10">
        <v>2.5873677311999992</v>
      </c>
      <c r="K16" s="10">
        <f t="shared" si="0"/>
        <v>42.159181333250999</v>
      </c>
      <c r="L16" s="159" t="s">
        <v>5</v>
      </c>
      <c r="M16" s="9" t="s">
        <v>257</v>
      </c>
      <c r="N16" s="157">
        <v>4.2000000000000003E-2</v>
      </c>
      <c r="O16" s="157">
        <v>0.17365929999999705</v>
      </c>
      <c r="P16" s="157"/>
      <c r="Q16" s="160">
        <f t="shared" si="1"/>
        <v>4.1347452380951673</v>
      </c>
      <c r="R16" s="150"/>
      <c r="S16" s="150"/>
      <c r="T16" s="150"/>
    </row>
    <row r="17" spans="1:20" ht="15">
      <c r="A17" s="150" t="s">
        <v>407</v>
      </c>
      <c r="B17" s="10">
        <f>212850508.203/1000000</f>
        <v>212.850508203</v>
      </c>
      <c r="C17" s="10"/>
      <c r="D17" s="10">
        <f>15222502.20313/1000000</f>
        <v>15.222502203129999</v>
      </c>
      <c r="E17" s="158">
        <f t="shared" si="2"/>
        <v>7.1517340182302866E-2</v>
      </c>
      <c r="F17" s="159">
        <f t="shared" si="3"/>
        <v>6.2756822868320397</v>
      </c>
      <c r="G17" s="10"/>
      <c r="H17" s="10">
        <v>5.0010678640999995</v>
      </c>
      <c r="I17" s="10">
        <v>9.4892240374999925</v>
      </c>
      <c r="J17" s="10">
        <v>14.49029199479998</v>
      </c>
      <c r="K17" s="10">
        <f t="shared" si="0"/>
        <v>242.56330240092998</v>
      </c>
      <c r="L17" s="151"/>
      <c r="M17" s="9" t="s">
        <v>258</v>
      </c>
      <c r="N17" s="157">
        <v>0.12664056999999959</v>
      </c>
      <c r="O17" s="157">
        <v>0.43520532000001821</v>
      </c>
      <c r="P17" s="157"/>
      <c r="Q17" s="160">
        <f t="shared" si="1"/>
        <v>3.4365394912548135</v>
      </c>
      <c r="R17" s="150"/>
      <c r="S17" s="150"/>
      <c r="T17" s="150"/>
    </row>
    <row r="18" spans="1:20" ht="15">
      <c r="A18" s="150" t="s">
        <v>315</v>
      </c>
      <c r="B18" s="10">
        <f>B8+B9+B11</f>
        <v>1803.2192037155</v>
      </c>
      <c r="C18" s="10"/>
      <c r="D18" s="10">
        <f>D8+D9+D11</f>
        <v>288.76312408885997</v>
      </c>
      <c r="E18" s="158">
        <f t="shared" si="2"/>
        <v>0.16013756036640961</v>
      </c>
      <c r="F18" s="159">
        <f t="shared" si="3"/>
        <v>10.751842687420027</v>
      </c>
      <c r="G18" s="10"/>
      <c r="H18" s="10">
        <f>H8+H9+H11</f>
        <v>280.69362951858983</v>
      </c>
      <c r="I18" s="10">
        <f>I8+I9+I11</f>
        <v>313.03227565991949</v>
      </c>
      <c r="J18" s="10">
        <f>J8+J9+J11</f>
        <v>593.72590364810856</v>
      </c>
      <c r="K18" s="10">
        <f t="shared" si="0"/>
        <v>2685.7082314524687</v>
      </c>
      <c r="L18" s="151"/>
      <c r="M18" s="9" t="s">
        <v>315</v>
      </c>
      <c r="N18" s="157">
        <f>N8+N9+N11</f>
        <v>2.8175803107195176</v>
      </c>
      <c r="O18" s="157">
        <f>O8+O9+O11</f>
        <v>13.972179589997573</v>
      </c>
      <c r="P18" s="157"/>
      <c r="Q18" s="160">
        <f t="shared" si="1"/>
        <v>4.9589286015522793</v>
      </c>
      <c r="R18" s="150"/>
      <c r="S18" s="150"/>
      <c r="T18" s="150"/>
    </row>
    <row r="19" spans="1:20" ht="15">
      <c r="A19" s="15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51"/>
      <c r="M19" s="150"/>
      <c r="N19" s="157"/>
      <c r="O19" s="157"/>
      <c r="P19" s="157"/>
      <c r="Q19" s="154"/>
      <c r="R19" s="150"/>
      <c r="S19" s="150"/>
      <c r="T19" s="150"/>
    </row>
    <row r="20" spans="1:20" ht="15">
      <c r="A20" s="150" t="s">
        <v>408</v>
      </c>
      <c r="B20" s="10">
        <f>SUM(B8:B10)+SUM(B12:B17)</f>
        <v>3281.99897018601</v>
      </c>
      <c r="C20" s="10"/>
      <c r="D20" s="10">
        <f>SUM(D8:D10)+SUM(D12:D17)</f>
        <v>637.50481938754888</v>
      </c>
      <c r="E20" s="10"/>
      <c r="F20" s="10"/>
      <c r="G20" s="10"/>
      <c r="H20" s="10">
        <f>SUM(H8:H10)+SUM(H12:H17)</f>
        <v>544.94044015290979</v>
      </c>
      <c r="I20" s="10">
        <f t="shared" ref="I20:K20" si="4">SUM(I8:I10)+SUM(I12:I17)</f>
        <v>609.61626610791984</v>
      </c>
      <c r="J20" s="10">
        <f t="shared" si="4"/>
        <v>1154.5567069817489</v>
      </c>
      <c r="K20" s="10">
        <f t="shared" si="4"/>
        <v>5074.0604965553084</v>
      </c>
      <c r="L20" s="151"/>
      <c r="M20" s="154" t="s">
        <v>409</v>
      </c>
      <c r="N20" s="165">
        <f>SUM(N12:N17)+SUM(N8:N10)</f>
        <v>5.4050254899998897</v>
      </c>
      <c r="O20" s="165">
        <f>SUM(O12:O17)+SUM(O8:O10)</f>
        <v>27.33829793999962</v>
      </c>
      <c r="P20" s="157"/>
      <c r="Q20" s="160">
        <f>O20/N20</f>
        <v>5.0579406129683537</v>
      </c>
      <c r="R20" s="150"/>
      <c r="S20" s="150"/>
      <c r="T20" s="150"/>
    </row>
    <row r="21" spans="1:20" ht="15">
      <c r="A21" s="155" t="s">
        <v>410</v>
      </c>
      <c r="B21" s="151">
        <f>100*B20/$K$49</f>
        <v>62.564625250782278</v>
      </c>
      <c r="C21" s="10"/>
      <c r="D21" s="151">
        <f>100*D20/$K$49</f>
        <v>12.15273084570441</v>
      </c>
      <c r="E21" s="151"/>
      <c r="F21" s="151"/>
      <c r="G21" s="151"/>
      <c r="H21" s="151"/>
      <c r="I21" s="151"/>
      <c r="J21" s="151"/>
      <c r="K21" s="151"/>
      <c r="L21" s="151"/>
      <c r="M21" s="150"/>
      <c r="N21" s="157"/>
      <c r="O21" s="150"/>
      <c r="P21" s="157"/>
      <c r="Q21" s="150"/>
      <c r="R21" s="150"/>
      <c r="S21" s="150"/>
      <c r="T21" s="160"/>
    </row>
    <row r="22" spans="1:20" ht="15">
      <c r="A22" s="155" t="s">
        <v>411</v>
      </c>
      <c r="B22" s="151">
        <f>100*B20/$K$20</f>
        <v>64.681904609022737</v>
      </c>
      <c r="C22" s="10"/>
      <c r="D22" s="151">
        <f>100*D20/$K$20</f>
        <v>12.563997213283914</v>
      </c>
      <c r="E22" s="158">
        <f t="shared" ref="E22" si="5">D22/B22</f>
        <v>0.19424284564946642</v>
      </c>
      <c r="F22" s="159">
        <f t="shared" ref="F22" si="6">100*D22/K22</f>
        <v>12.563997213283915</v>
      </c>
      <c r="G22" s="151"/>
      <c r="H22" s="151">
        <f>100*H20/$K20</f>
        <v>10.73973084323414</v>
      </c>
      <c r="I22" s="151">
        <f>100*I20/$K20</f>
        <v>12.014367320251262</v>
      </c>
      <c r="J22" s="151">
        <f>100*J20/$K20</f>
        <v>22.754098177693336</v>
      </c>
      <c r="K22" s="151">
        <f>100*K20/$K20</f>
        <v>100</v>
      </c>
      <c r="L22" s="151"/>
      <c r="M22" s="150"/>
      <c r="N22" s="157"/>
      <c r="O22" s="150"/>
      <c r="P22" s="157"/>
      <c r="Q22" s="150"/>
      <c r="R22" s="150"/>
      <c r="S22" s="150"/>
      <c r="T22" s="150"/>
    </row>
    <row r="23" spans="1:20" ht="15">
      <c r="A23" s="150"/>
      <c r="B23" s="151"/>
      <c r="C23" s="151"/>
      <c r="D23" s="151"/>
      <c r="E23" s="151"/>
      <c r="F23" s="152" t="s">
        <v>428</v>
      </c>
      <c r="G23" s="151"/>
      <c r="H23" s="151"/>
      <c r="I23" s="151"/>
      <c r="J23" s="170" t="s">
        <v>2</v>
      </c>
      <c r="K23" s="243">
        <f>K10+K14+K15</f>
        <v>1436.0277824111308</v>
      </c>
      <c r="L23" s="159" t="s">
        <v>3</v>
      </c>
      <c r="M23" s="150"/>
      <c r="N23" s="157"/>
      <c r="O23" s="166" t="s">
        <v>412</v>
      </c>
      <c r="P23" s="167" t="s">
        <v>413</v>
      </c>
      <c r="Q23" s="150"/>
      <c r="R23" s="150"/>
      <c r="S23" s="150"/>
      <c r="T23" s="150"/>
    </row>
    <row r="24" spans="1:20" ht="15">
      <c r="A24" s="150"/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68" t="s">
        <v>414</v>
      </c>
      <c r="M24" s="150"/>
      <c r="N24" s="169" t="s">
        <v>415</v>
      </c>
      <c r="O24" s="169" t="s">
        <v>334</v>
      </c>
      <c r="P24" s="169" t="s">
        <v>334</v>
      </c>
      <c r="Q24" s="5" t="s">
        <v>172</v>
      </c>
      <c r="R24" s="157" t="s">
        <v>335</v>
      </c>
      <c r="S24" s="150"/>
      <c r="T24" s="150"/>
    </row>
    <row r="25" spans="1:20" ht="15">
      <c r="A25" s="150"/>
      <c r="B25" s="148" t="s">
        <v>336</v>
      </c>
      <c r="C25" s="148"/>
      <c r="D25" s="151"/>
      <c r="E25" s="151"/>
      <c r="F25" s="151"/>
      <c r="G25" s="151"/>
      <c r="H25" s="151" t="s">
        <v>392</v>
      </c>
      <c r="I25" s="151"/>
      <c r="J25" s="151"/>
      <c r="K25" s="151"/>
      <c r="L25" s="168" t="s">
        <v>337</v>
      </c>
      <c r="M25" s="149" t="s">
        <v>338</v>
      </c>
      <c r="N25" s="169" t="s">
        <v>339</v>
      </c>
      <c r="O25" s="169" t="s">
        <v>340</v>
      </c>
      <c r="P25" s="169" t="s">
        <v>340</v>
      </c>
      <c r="Q25" s="5" t="s">
        <v>341</v>
      </c>
      <c r="R25" s="157" t="s">
        <v>342</v>
      </c>
      <c r="S25" s="150"/>
      <c r="T25" s="150"/>
    </row>
    <row r="26" spans="1:20" ht="15">
      <c r="A26" s="150" t="s">
        <v>343</v>
      </c>
      <c r="B26" s="10">
        <f>61655555.5699975/1000000</f>
        <v>61.655555569997496</v>
      </c>
      <c r="C26" s="10"/>
      <c r="D26" s="10"/>
      <c r="E26" s="10"/>
      <c r="F26" s="10"/>
      <c r="G26" s="10"/>
      <c r="H26" s="10"/>
      <c r="I26" s="10"/>
      <c r="J26" s="10"/>
      <c r="K26" s="10">
        <f>B26</f>
        <v>61.655555569997496</v>
      </c>
      <c r="L26" s="168">
        <f>K26/O26</f>
        <v>33.479432540812439</v>
      </c>
      <c r="M26" s="150" t="s">
        <v>343</v>
      </c>
      <c r="N26" s="11">
        <f>439344.15/1000000</f>
        <v>0.43934415000000004</v>
      </c>
      <c r="O26" s="157">
        <f>O39-O10</f>
        <v>1.8415950000000003</v>
      </c>
      <c r="P26" s="157">
        <f>N26*Q26</f>
        <v>1.8415950000000001</v>
      </c>
      <c r="Q26" s="160">
        <v>4.1916911833240524</v>
      </c>
      <c r="R26" s="150"/>
      <c r="S26" s="150"/>
      <c r="T26" s="150"/>
    </row>
    <row r="27" spans="1:20" ht="15">
      <c r="A27" s="150" t="s">
        <v>314</v>
      </c>
      <c r="B27" s="10">
        <f>59107881.1199975/1000000</f>
        <v>59.107881119997501</v>
      </c>
      <c r="C27" s="10"/>
      <c r="D27" s="10"/>
      <c r="E27" s="10"/>
      <c r="F27" s="10"/>
      <c r="G27" s="10"/>
      <c r="H27" s="10"/>
      <c r="I27" s="10"/>
      <c r="J27" s="10"/>
      <c r="K27" s="10">
        <f>B27</f>
        <v>59.107881119997501</v>
      </c>
      <c r="L27" s="168">
        <f t="shared" ref="L27:L30" si="7">K27/O27</f>
        <v>33.484224560757831</v>
      </c>
      <c r="M27" s="150" t="s">
        <v>314</v>
      </c>
      <c r="N27" s="11">
        <f>421924/1000000</f>
        <v>0.42192400000000002</v>
      </c>
      <c r="O27" s="157">
        <f>O40-O11</f>
        <v>1.7652456312</v>
      </c>
      <c r="P27" s="157">
        <f>N27*Q27</f>
        <v>1.7652456312</v>
      </c>
      <c r="Q27" s="160">
        <v>4.1837999999999997</v>
      </c>
      <c r="R27" s="150"/>
      <c r="S27" s="150"/>
      <c r="T27" s="150"/>
    </row>
    <row r="28" spans="1:20" ht="15">
      <c r="A28" s="150" t="s">
        <v>344</v>
      </c>
      <c r="B28" s="10">
        <f>66141540.7200068/1000000</f>
        <v>66.141540720006802</v>
      </c>
      <c r="C28" s="10"/>
      <c r="D28" s="10"/>
      <c r="E28" s="10"/>
      <c r="F28" s="10"/>
      <c r="G28" s="10"/>
      <c r="H28" s="10"/>
      <c r="I28" s="10"/>
      <c r="J28" s="10"/>
      <c r="K28" s="10">
        <f t="shared" ref="K28:K30" si="8">B28</f>
        <v>66.141540720006802</v>
      </c>
      <c r="L28" s="168">
        <f t="shared" si="7"/>
        <v>48.372381666319356</v>
      </c>
      <c r="M28" s="150" t="s">
        <v>344</v>
      </c>
      <c r="N28" s="80">
        <f>324013.9/1000000</f>
        <v>0.32401390000000002</v>
      </c>
      <c r="O28" s="157">
        <f>O43-O14</f>
        <v>1.3673410000000006</v>
      </c>
      <c r="P28" s="157">
        <f>N28*Q28</f>
        <v>1.3673410000000004</v>
      </c>
      <c r="Q28" s="160">
        <v>4.2200072280849685</v>
      </c>
      <c r="R28" s="150"/>
      <c r="S28" s="150"/>
      <c r="T28" s="150"/>
    </row>
    <row r="29" spans="1:20" ht="15">
      <c r="A29" s="150" t="s">
        <v>345</v>
      </c>
      <c r="B29" s="10">
        <f>38677412.759999/1000000</f>
        <v>38.677412759999001</v>
      </c>
      <c r="C29" s="10"/>
      <c r="D29" s="10"/>
      <c r="E29" s="10"/>
      <c r="F29" s="10"/>
      <c r="G29" s="10"/>
      <c r="H29" s="10"/>
      <c r="I29" s="10"/>
      <c r="J29" s="10"/>
      <c r="K29" s="10">
        <f t="shared" si="8"/>
        <v>38.677412759999001</v>
      </c>
      <c r="L29" s="168">
        <f t="shared" si="7"/>
        <v>62.196634853348911</v>
      </c>
      <c r="M29" s="150" t="s">
        <v>345</v>
      </c>
      <c r="N29" s="80">
        <f>152821.55/1000000</f>
        <v>0.15282155</v>
      </c>
      <c r="O29" s="157">
        <f>O44-O15</f>
        <v>0.6218570000000001</v>
      </c>
      <c r="P29" s="157">
        <f>N29*Q29</f>
        <v>0.62185699999999999</v>
      </c>
      <c r="Q29" s="160">
        <v>4.0691708728252003</v>
      </c>
      <c r="R29" s="150"/>
      <c r="S29" s="150"/>
      <c r="T29" s="150"/>
    </row>
    <row r="30" spans="1:20" ht="15">
      <c r="A30" s="150" t="s">
        <v>346</v>
      </c>
      <c r="B30" s="10">
        <f>5239195.11999995/1000000</f>
        <v>5.23919511999995</v>
      </c>
      <c r="C30" s="10"/>
      <c r="D30" s="10"/>
      <c r="E30" s="10"/>
      <c r="F30" s="10"/>
      <c r="G30" s="10"/>
      <c r="H30" s="10"/>
      <c r="I30" s="10"/>
      <c r="J30" s="10"/>
      <c r="K30" s="10">
        <f t="shared" si="8"/>
        <v>5.23919511999995</v>
      </c>
      <c r="L30" s="168">
        <f t="shared" si="7"/>
        <v>63.397811229428207</v>
      </c>
      <c r="M30" s="150" t="s">
        <v>346</v>
      </c>
      <c r="N30" s="176">
        <f>28924/1000000</f>
        <v>2.8923999999999998E-2</v>
      </c>
      <c r="O30" s="157">
        <f>O42-O13</f>
        <v>8.2640000000000047E-2</v>
      </c>
      <c r="P30" s="157">
        <f>N30*Q30</f>
        <v>8.2640000000000005E-2</v>
      </c>
      <c r="Q30" s="160">
        <v>2.8571428571428577</v>
      </c>
      <c r="R30" s="150"/>
      <c r="S30" s="150"/>
      <c r="T30" s="150"/>
    </row>
    <row r="31" spans="1:20" ht="15">
      <c r="A31" s="150"/>
      <c r="B31" s="10">
        <f>B26+SUM(B28:B30)</f>
        <v>171.71370417000324</v>
      </c>
      <c r="C31" s="10"/>
      <c r="D31" s="10"/>
      <c r="E31" s="10"/>
      <c r="F31" s="10"/>
      <c r="G31" s="10"/>
      <c r="H31" s="10"/>
      <c r="I31" s="10"/>
      <c r="J31" s="10"/>
      <c r="K31" s="10">
        <f>K26+SUM(K28:K30)</f>
        <v>171.71370417000324</v>
      </c>
      <c r="L31" s="151"/>
      <c r="M31" s="154" t="s">
        <v>347</v>
      </c>
      <c r="N31" s="164">
        <f>N26+SUM(N28:N30)</f>
        <v>0.94510360000000004</v>
      </c>
      <c r="O31" s="157">
        <f>O26+SUM(O28:O30)</f>
        <v>3.9134330000000008</v>
      </c>
      <c r="P31" s="157">
        <f>P26+SUM(P28:P30)</f>
        <v>3.9134330000000004</v>
      </c>
      <c r="Q31" s="160">
        <f>P31/N31</f>
        <v>4.1407449934589184</v>
      </c>
      <c r="R31" s="150"/>
      <c r="S31" s="150"/>
      <c r="T31" s="150"/>
    </row>
    <row r="32" spans="1:20" ht="15">
      <c r="A32" s="150" t="s">
        <v>348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51"/>
      <c r="M32" s="150"/>
      <c r="N32" s="164"/>
      <c r="O32" s="150"/>
      <c r="P32" s="150"/>
      <c r="Q32" s="150"/>
      <c r="R32" s="150"/>
      <c r="S32" s="150"/>
      <c r="T32" s="150"/>
    </row>
    <row r="33" spans="1:20" ht="15">
      <c r="A33" s="150"/>
      <c r="B33" s="10">
        <v>2.8993227106953636</v>
      </c>
      <c r="C33" s="10" t="s">
        <v>204</v>
      </c>
      <c r="D33" s="10"/>
      <c r="E33" s="10"/>
      <c r="F33" s="10"/>
      <c r="G33" s="10"/>
      <c r="H33" s="10"/>
      <c r="I33" s="10"/>
      <c r="J33" s="10"/>
      <c r="K33" s="10"/>
      <c r="L33" s="151"/>
      <c r="M33" s="150"/>
      <c r="N33" s="157"/>
      <c r="O33" s="154"/>
      <c r="P33" s="150"/>
      <c r="Q33" s="150"/>
      <c r="R33" s="150"/>
      <c r="S33" s="150"/>
      <c r="T33" s="150"/>
    </row>
    <row r="34" spans="1:20" ht="15">
      <c r="A34" s="150"/>
      <c r="B34" s="170" t="s">
        <v>205</v>
      </c>
      <c r="C34" s="170"/>
      <c r="D34" s="170" t="s">
        <v>358</v>
      </c>
      <c r="E34" s="152" t="s">
        <v>358</v>
      </c>
      <c r="F34" s="152" t="s">
        <v>358</v>
      </c>
      <c r="G34" s="170"/>
      <c r="H34" s="170" t="s">
        <v>206</v>
      </c>
      <c r="I34" s="170" t="s">
        <v>207</v>
      </c>
      <c r="J34" s="170" t="s">
        <v>208</v>
      </c>
      <c r="K34" s="170" t="s">
        <v>209</v>
      </c>
      <c r="L34" s="155"/>
      <c r="M34" s="150"/>
      <c r="N34" s="157"/>
      <c r="O34" s="154"/>
      <c r="P34" s="5"/>
      <c r="Q34" s="9"/>
      <c r="R34" s="150"/>
      <c r="S34" s="150"/>
      <c r="T34" s="150"/>
    </row>
    <row r="35" spans="1:20" ht="15">
      <c r="A35" s="150"/>
      <c r="B35" s="170" t="s">
        <v>210</v>
      </c>
      <c r="C35" s="170"/>
      <c r="D35" s="170" t="s">
        <v>211</v>
      </c>
      <c r="E35" s="152" t="s">
        <v>442</v>
      </c>
      <c r="F35" s="152" t="s">
        <v>443</v>
      </c>
      <c r="G35" s="170"/>
      <c r="H35" s="170" t="s">
        <v>210</v>
      </c>
      <c r="I35" s="170" t="s">
        <v>210</v>
      </c>
      <c r="J35" s="170" t="s">
        <v>212</v>
      </c>
      <c r="K35" s="170" t="s">
        <v>210</v>
      </c>
      <c r="L35" s="155"/>
      <c r="M35" s="150"/>
      <c r="N35" s="153" t="s">
        <v>349</v>
      </c>
      <c r="O35" s="5" t="s">
        <v>378</v>
      </c>
      <c r="P35" s="5" t="s">
        <v>201</v>
      </c>
      <c r="Q35" s="5" t="s">
        <v>172</v>
      </c>
      <c r="R35" s="239" t="s">
        <v>47</v>
      </c>
      <c r="S35" s="150"/>
      <c r="T35" s="150"/>
    </row>
    <row r="36" spans="1:20" s="9" customFormat="1" ht="15">
      <c r="B36" s="148" t="s">
        <v>213</v>
      </c>
      <c r="C36" s="10"/>
      <c r="D36" s="10"/>
      <c r="E36" s="152" t="s">
        <v>182</v>
      </c>
      <c r="F36" s="152" t="s">
        <v>183</v>
      </c>
      <c r="G36" s="10"/>
      <c r="H36" s="10" t="s">
        <v>392</v>
      </c>
      <c r="I36" s="10"/>
      <c r="J36" s="10"/>
      <c r="K36" s="10"/>
      <c r="L36" s="10"/>
      <c r="M36" s="149" t="s">
        <v>364</v>
      </c>
      <c r="N36" s="157" t="s">
        <v>399</v>
      </c>
      <c r="O36" s="5" t="s">
        <v>379</v>
      </c>
      <c r="P36" s="17" t="s">
        <v>202</v>
      </c>
      <c r="Q36" s="5" t="s">
        <v>189</v>
      </c>
      <c r="R36" s="5" t="s">
        <v>365</v>
      </c>
      <c r="S36" s="5" t="s">
        <v>366</v>
      </c>
    </row>
    <row r="37" spans="1:20" s="9" customFormat="1" ht="15">
      <c r="A37" s="9" t="s">
        <v>401</v>
      </c>
      <c r="B37" s="10">
        <f>422544490.0651/1000000</f>
        <v>422.54449006510004</v>
      </c>
      <c r="C37" s="10"/>
      <c r="D37" s="10">
        <f>D8</f>
        <v>69.405122087889993</v>
      </c>
      <c r="E37" s="158">
        <f>D37/B37</f>
        <v>0.16425518192698946</v>
      </c>
      <c r="F37" s="159">
        <f>100*D37/K37</f>
        <v>11.764873806083745</v>
      </c>
      <c r="G37" s="10"/>
      <c r="H37" s="10">
        <v>51.867625870600016</v>
      </c>
      <c r="I37" s="10">
        <v>46.117878991029933</v>
      </c>
      <c r="J37" s="10">
        <v>97.985505145079415</v>
      </c>
      <c r="K37" s="10">
        <f t="shared" ref="K37:K47" si="9">B37+D37+J37</f>
        <v>589.93511729806949</v>
      </c>
      <c r="L37" s="10"/>
      <c r="M37" s="9" t="s">
        <v>289</v>
      </c>
      <c r="N37" s="11">
        <f>P37/Q37</f>
        <v>0.66734580999996573</v>
      </c>
      <c r="O37" s="157">
        <v>3.1177708000002169</v>
      </c>
      <c r="P37" s="11">
        <v>3.1352829999999998</v>
      </c>
      <c r="Q37" s="18">
        <v>4.6981384359035099</v>
      </c>
      <c r="R37" s="19">
        <f t="shared" ref="R37:R46" si="10">K37/P37</f>
        <v>188.16008548449039</v>
      </c>
      <c r="S37" s="20">
        <f>100*R37/106</f>
        <v>177.50951460800982</v>
      </c>
    </row>
    <row r="38" spans="1:20" s="9" customFormat="1" ht="15">
      <c r="A38" s="9" t="s">
        <v>367</v>
      </c>
      <c r="B38" s="10">
        <f>1054119166.125/1000000</f>
        <v>1054.119166125</v>
      </c>
      <c r="C38" s="10"/>
      <c r="D38" s="10">
        <f>D9</f>
        <v>137.02255159570001</v>
      </c>
      <c r="E38" s="158">
        <f t="shared" ref="E38:E47" si="11">D38/B38</f>
        <v>0.12998772434752556</v>
      </c>
      <c r="F38" s="159">
        <f t="shared" ref="F38:F47" si="12">100*D38/K38</f>
        <v>9.4327325871470578</v>
      </c>
      <c r="G38" s="10"/>
      <c r="H38" s="10">
        <f t="shared" ref="H38:J40" si="13">H9</f>
        <v>157.65345827340983</v>
      </c>
      <c r="I38" s="10">
        <f t="shared" si="13"/>
        <v>103.8332157478896</v>
      </c>
      <c r="J38" s="10">
        <f t="shared" si="13"/>
        <v>261.48667314882914</v>
      </c>
      <c r="K38" s="10">
        <f t="shared" si="9"/>
        <v>1452.6283908695291</v>
      </c>
      <c r="L38" s="10"/>
      <c r="M38" s="9" t="s">
        <v>192</v>
      </c>
      <c r="N38" s="11">
        <f t="shared" ref="N38:N46" si="14">P38/Q38</f>
        <v>1.498550559999952</v>
      </c>
      <c r="O38" s="157">
        <v>7.4328767899973549</v>
      </c>
      <c r="P38" s="11">
        <v>7.4589850000000002</v>
      </c>
      <c r="Q38" s="18">
        <v>4.9774663592266375</v>
      </c>
      <c r="R38" s="21">
        <f t="shared" si="10"/>
        <v>194.74880172966283</v>
      </c>
      <c r="S38" s="20">
        <f t="shared" ref="S38:S49" si="15">100*R38/106</f>
        <v>183.72528465062533</v>
      </c>
    </row>
    <row r="39" spans="1:20" s="9" customFormat="1" ht="15">
      <c r="A39" s="9" t="s">
        <v>368</v>
      </c>
      <c r="B39" s="10">
        <f>B10+B26</f>
        <v>395.51226850199748</v>
      </c>
      <c r="C39" s="10"/>
      <c r="D39" s="10">
        <f>D10</f>
        <v>84.679365494140001</v>
      </c>
      <c r="E39" s="158">
        <f t="shared" si="11"/>
        <v>0.2141004773754884</v>
      </c>
      <c r="F39" s="159">
        <f t="shared" si="12"/>
        <v>11.785280911117731</v>
      </c>
      <c r="G39" s="10"/>
      <c r="H39" s="10">
        <f t="shared" si="13"/>
        <v>71.979684058600043</v>
      </c>
      <c r="I39" s="10">
        <f t="shared" si="13"/>
        <v>166.34668963551039</v>
      </c>
      <c r="J39" s="10">
        <f t="shared" si="13"/>
        <v>238.32637276819088</v>
      </c>
      <c r="K39" s="10">
        <f t="shared" si="9"/>
        <v>718.51800676432845</v>
      </c>
      <c r="L39" s="10"/>
      <c r="M39" s="9" t="s">
        <v>313</v>
      </c>
      <c r="N39" s="11">
        <f t="shared" si="14"/>
        <v>1.1065384799999778</v>
      </c>
      <c r="O39" s="11">
        <f>O10+P26</f>
        <v>5.3417097500000121</v>
      </c>
      <c r="P39" s="11">
        <v>5.3647030000000004</v>
      </c>
      <c r="Q39" s="18">
        <v>4.848184764437752</v>
      </c>
      <c r="R39" s="22">
        <f t="shared" si="10"/>
        <v>133.93434953702533</v>
      </c>
      <c r="S39" s="20">
        <f t="shared" si="15"/>
        <v>126.35315994058992</v>
      </c>
    </row>
    <row r="40" spans="1:20" s="9" customFormat="1" ht="15">
      <c r="A40" s="9" t="s">
        <v>314</v>
      </c>
      <c r="B40" s="10">
        <f>B11+B27</f>
        <v>385.66342864539746</v>
      </c>
      <c r="C40" s="10"/>
      <c r="D40" s="10">
        <f>D11</f>
        <v>82.335450405269995</v>
      </c>
      <c r="E40" s="158">
        <f t="shared" si="11"/>
        <v>0.21349042789580716</v>
      </c>
      <c r="F40" s="159">
        <f t="shared" si="12"/>
        <v>11.724477757550815</v>
      </c>
      <c r="G40" s="10"/>
      <c r="H40" s="10">
        <f t="shared" si="13"/>
        <v>71.172545374579997</v>
      </c>
      <c r="I40" s="10">
        <f t="shared" si="13"/>
        <v>163.081180921</v>
      </c>
      <c r="J40" s="10">
        <f t="shared" si="13"/>
        <v>234.25372535420001</v>
      </c>
      <c r="K40" s="10">
        <f t="shared" si="9"/>
        <v>702.2526044048675</v>
      </c>
      <c r="L40" s="10"/>
      <c r="M40" s="9" t="s">
        <v>314</v>
      </c>
      <c r="N40" s="11"/>
      <c r="O40" s="11">
        <f>O11+P27</f>
        <v>5.1867776312</v>
      </c>
      <c r="P40" s="80"/>
      <c r="Q40" s="80"/>
      <c r="R40" s="80"/>
      <c r="S40" s="80"/>
    </row>
    <row r="41" spans="1:20" s="9" customFormat="1" ht="15">
      <c r="A41" s="9" t="s">
        <v>369</v>
      </c>
      <c r="B41" s="10">
        <f>636266043.7774/1000000</f>
        <v>636.2660437774</v>
      </c>
      <c r="C41" s="10"/>
      <c r="D41" s="10">
        <f t="shared" ref="D41:D47" si="16">D12</f>
        <v>175.96117599399798</v>
      </c>
      <c r="E41" s="158">
        <f t="shared" si="11"/>
        <v>0.27655283150008653</v>
      </c>
      <c r="F41" s="159">
        <f t="shared" si="12"/>
        <v>17.592398060527486</v>
      </c>
      <c r="G41" s="10"/>
      <c r="H41" s="10">
        <v>129.61295268299989</v>
      </c>
      <c r="I41" s="10">
        <v>58.371256183559993</v>
      </c>
      <c r="J41" s="10">
        <v>187.9842089866095</v>
      </c>
      <c r="K41" s="10">
        <f t="shared" si="9"/>
        <v>1000.2114287580075</v>
      </c>
      <c r="L41" s="10"/>
      <c r="M41" s="9" t="s">
        <v>434</v>
      </c>
      <c r="N41" s="11">
        <f t="shared" si="14"/>
        <v>1.3182299799999995</v>
      </c>
      <c r="O41" s="11">
        <v>6.8962973600018547</v>
      </c>
      <c r="P41" s="11">
        <v>6.9268840000000003</v>
      </c>
      <c r="Q41" s="18">
        <v>5.254685529151752</v>
      </c>
      <c r="R41" s="23">
        <f t="shared" si="10"/>
        <v>144.3955794204158</v>
      </c>
      <c r="S41" s="20">
        <f t="shared" si="15"/>
        <v>136.22224473624132</v>
      </c>
    </row>
    <row r="42" spans="1:20" s="9" customFormat="1" ht="15">
      <c r="A42" s="9" t="s">
        <v>403</v>
      </c>
      <c r="B42" s="10">
        <f>B13+B30</f>
        <v>211.70097277669993</v>
      </c>
      <c r="C42" s="10"/>
      <c r="D42" s="10">
        <f t="shared" si="16"/>
        <v>48.860173181149996</v>
      </c>
      <c r="E42" s="158">
        <f t="shared" si="11"/>
        <v>0.2307980569965884</v>
      </c>
      <c r="F42" s="159">
        <f t="shared" si="12"/>
        <v>15.473122416283351</v>
      </c>
      <c r="G42" s="10"/>
      <c r="H42" s="10">
        <f t="shared" ref="H42:J47" si="17">H13</f>
        <v>30.87707266049998</v>
      </c>
      <c r="I42" s="10">
        <f t="shared" si="17"/>
        <v>24.336269816140003</v>
      </c>
      <c r="J42" s="10">
        <f t="shared" si="17"/>
        <v>55.213342646540113</v>
      </c>
      <c r="K42" s="10">
        <f t="shared" si="9"/>
        <v>315.77448860439006</v>
      </c>
      <c r="L42" s="10"/>
      <c r="M42" s="9" t="s">
        <v>436</v>
      </c>
      <c r="N42" s="11">
        <f t="shared" si="14"/>
        <v>0.42935146000000363</v>
      </c>
      <c r="O42" s="11">
        <f>O13+P30</f>
        <v>2.1113868799997855</v>
      </c>
      <c r="P42" s="11">
        <v>2.169832</v>
      </c>
      <c r="Q42" s="18">
        <v>5.0537431501921102</v>
      </c>
      <c r="R42" s="23">
        <f t="shared" si="10"/>
        <v>145.52946431078078</v>
      </c>
      <c r="S42" s="20">
        <f t="shared" si="15"/>
        <v>137.29194746300075</v>
      </c>
    </row>
    <row r="43" spans="1:20" s="9" customFormat="1" ht="15">
      <c r="A43" s="9" t="s">
        <v>404</v>
      </c>
      <c r="B43" s="10">
        <f>B14+B28</f>
        <v>300.30713833760677</v>
      </c>
      <c r="C43" s="10"/>
      <c r="D43" s="10">
        <f t="shared" si="16"/>
        <v>74.275367239260007</v>
      </c>
      <c r="E43" s="158">
        <f t="shared" si="11"/>
        <v>0.24733134100781604</v>
      </c>
      <c r="F43" s="159">
        <f t="shared" si="12"/>
        <v>13.054423580295021</v>
      </c>
      <c r="G43" s="10"/>
      <c r="H43" s="10">
        <f t="shared" si="17"/>
        <v>58.556457078300021</v>
      </c>
      <c r="I43" s="10">
        <f t="shared" si="17"/>
        <v>135.82807554347997</v>
      </c>
      <c r="J43" s="10">
        <f t="shared" si="17"/>
        <v>194.38453293240022</v>
      </c>
      <c r="K43" s="10">
        <f t="shared" si="9"/>
        <v>568.96703850926701</v>
      </c>
      <c r="L43" s="10"/>
      <c r="M43" s="9" t="s">
        <v>437</v>
      </c>
      <c r="N43" s="11">
        <f t="shared" si="14"/>
        <v>0.80855755999999079</v>
      </c>
      <c r="O43" s="11">
        <f>O14+P28</f>
        <v>4.006917450000433</v>
      </c>
      <c r="P43" s="11">
        <v>4.0209910000000004</v>
      </c>
      <c r="Q43" s="18">
        <v>4.9730423644793404</v>
      </c>
      <c r="R43" s="23">
        <f t="shared" si="10"/>
        <v>141.49920716292749</v>
      </c>
      <c r="S43" s="20">
        <f t="shared" si="15"/>
        <v>133.48981807823347</v>
      </c>
    </row>
    <row r="44" spans="1:20" s="9" customFormat="1" ht="15">
      <c r="A44" s="9" t="s">
        <v>405</v>
      </c>
      <c r="B44" s="10">
        <f>B15+B29</f>
        <v>183.17479046959897</v>
      </c>
      <c r="C44" s="10"/>
      <c r="D44" s="10">
        <f t="shared" si="16"/>
        <v>29.744044089839999</v>
      </c>
      <c r="E44" s="158">
        <f t="shared" si="11"/>
        <v>0.16238066391988878</v>
      </c>
      <c r="F44" s="159">
        <f t="shared" si="12"/>
        <v>9.4420367296755927</v>
      </c>
      <c r="G44" s="10"/>
      <c r="H44" s="10">
        <f t="shared" si="17"/>
        <v>38.958123635000021</v>
      </c>
      <c r="I44" s="10">
        <f t="shared" si="17"/>
        <v>63.140286450899993</v>
      </c>
      <c r="J44" s="10">
        <f t="shared" si="17"/>
        <v>102.0984116280998</v>
      </c>
      <c r="K44" s="10">
        <f t="shared" si="9"/>
        <v>315.01724618753877</v>
      </c>
      <c r="L44" s="10"/>
      <c r="M44" s="9" t="s">
        <v>438</v>
      </c>
      <c r="N44" s="11">
        <f t="shared" si="14"/>
        <v>0.36718907000000073</v>
      </c>
      <c r="O44" s="11">
        <f>O15+P29</f>
        <v>1.7359072899999459</v>
      </c>
      <c r="P44" s="11">
        <v>1.7476670000000001</v>
      </c>
      <c r="Q44" s="18">
        <v>4.7595833939174623</v>
      </c>
      <c r="R44" s="23">
        <f t="shared" si="10"/>
        <v>180.25015416983828</v>
      </c>
      <c r="S44" s="20">
        <f t="shared" si="15"/>
        <v>170.04731525456441</v>
      </c>
    </row>
    <row r="45" spans="1:20" s="9" customFormat="1" ht="15">
      <c r="A45" s="9" t="s">
        <v>406</v>
      </c>
      <c r="B45" s="10">
        <f>37237296.09961/1000000</f>
        <v>37.237296099609999</v>
      </c>
      <c r="C45" s="10"/>
      <c r="D45" s="10">
        <f t="shared" si="16"/>
        <v>2.3345175024410003</v>
      </c>
      <c r="E45" s="158">
        <f t="shared" si="11"/>
        <v>6.2692991891681704E-2</v>
      </c>
      <c r="F45" s="159">
        <f t="shared" si="12"/>
        <v>5.537388129023662</v>
      </c>
      <c r="G45" s="10"/>
      <c r="H45" s="10">
        <f t="shared" si="17"/>
        <v>0.43399802939999987</v>
      </c>
      <c r="I45" s="10">
        <f t="shared" si="17"/>
        <v>2.1533697019100004</v>
      </c>
      <c r="J45" s="10">
        <f t="shared" si="17"/>
        <v>2.5873677311999992</v>
      </c>
      <c r="K45" s="10">
        <f t="shared" si="9"/>
        <v>42.159181333250999</v>
      </c>
      <c r="L45" s="10"/>
      <c r="M45" s="9" t="s">
        <v>257</v>
      </c>
      <c r="N45" s="11">
        <f t="shared" si="14"/>
        <v>4.2000000000000003E-2</v>
      </c>
      <c r="O45" s="157">
        <v>0.17365929999999705</v>
      </c>
      <c r="P45" s="11">
        <v>0.174923</v>
      </c>
      <c r="Q45" s="18">
        <v>4.1648333333333332</v>
      </c>
      <c r="R45" s="23">
        <f t="shared" si="10"/>
        <v>241.01565450656003</v>
      </c>
      <c r="S45" s="20">
        <f t="shared" si="15"/>
        <v>227.37325896845286</v>
      </c>
    </row>
    <row r="46" spans="1:20" s="9" customFormat="1" ht="15">
      <c r="A46" s="9" t="s">
        <v>407</v>
      </c>
      <c r="B46" s="10">
        <f>212850508.203/1000000</f>
        <v>212.850508203</v>
      </c>
      <c r="C46" s="10"/>
      <c r="D46" s="10">
        <f t="shared" si="16"/>
        <v>15.222502203129999</v>
      </c>
      <c r="E46" s="158">
        <f t="shared" si="11"/>
        <v>7.1517340182302866E-2</v>
      </c>
      <c r="F46" s="159">
        <f t="shared" si="12"/>
        <v>6.2756822868320397</v>
      </c>
      <c r="G46" s="10"/>
      <c r="H46" s="10">
        <f t="shared" si="17"/>
        <v>5.0010678640999995</v>
      </c>
      <c r="I46" s="10">
        <f t="shared" si="17"/>
        <v>9.4892240374999925</v>
      </c>
      <c r="J46" s="10">
        <f t="shared" si="17"/>
        <v>14.49029199479998</v>
      </c>
      <c r="K46" s="10">
        <f t="shared" si="9"/>
        <v>242.56330240092998</v>
      </c>
      <c r="L46" s="10"/>
      <c r="M46" s="9" t="s">
        <v>258</v>
      </c>
      <c r="N46" s="11">
        <f t="shared" si="14"/>
        <v>0.12664056999999959</v>
      </c>
      <c r="O46" s="157">
        <v>0.43520532000001821</v>
      </c>
      <c r="P46" s="11">
        <v>0.44405299999999998</v>
      </c>
      <c r="Q46" s="18">
        <v>3.5064039904432001</v>
      </c>
      <c r="R46" s="23">
        <f t="shared" si="10"/>
        <v>546.24853880264288</v>
      </c>
      <c r="S46" s="20">
        <f t="shared" si="15"/>
        <v>515.32881019117247</v>
      </c>
    </row>
    <row r="47" spans="1:20" s="9" customFormat="1" ht="15">
      <c r="A47" s="9" t="s">
        <v>315</v>
      </c>
      <c r="B47" s="10">
        <f>B37+B38+B40</f>
        <v>1862.3270848354975</v>
      </c>
      <c r="C47" s="10"/>
      <c r="D47" s="10">
        <f t="shared" si="16"/>
        <v>288.76312408885997</v>
      </c>
      <c r="E47" s="158">
        <f t="shared" si="11"/>
        <v>0.15505499889906121</v>
      </c>
      <c r="F47" s="159">
        <f t="shared" si="12"/>
        <v>10.520308546944102</v>
      </c>
      <c r="G47" s="10"/>
      <c r="H47" s="10">
        <f t="shared" si="17"/>
        <v>280.69362951858983</v>
      </c>
      <c r="I47" s="10">
        <f t="shared" si="17"/>
        <v>313.03227565991949</v>
      </c>
      <c r="J47" s="10">
        <f t="shared" si="17"/>
        <v>593.72590364810856</v>
      </c>
      <c r="K47" s="10">
        <f t="shared" si="9"/>
        <v>2744.816112572466</v>
      </c>
      <c r="L47" s="10"/>
      <c r="M47" s="9" t="s">
        <v>315</v>
      </c>
      <c r="N47" s="11">
        <f>N8+N9+N11+N27</f>
        <v>3.2395043107195178</v>
      </c>
      <c r="O47" s="157">
        <f>O37+O38+O40</f>
        <v>15.737425221197572</v>
      </c>
      <c r="P47" s="80">
        <f>P37+P38+(O40*P39/O39)</f>
        <v>15.803371979944149</v>
      </c>
      <c r="Q47" s="80">
        <f>O47/N47</f>
        <v>4.8579732303866496</v>
      </c>
      <c r="R47" s="23">
        <f t="shared" ref="R47" si="18">K47/P47</f>
        <v>173.68547143330397</v>
      </c>
      <c r="S47" s="240">
        <f t="shared" ref="S47" si="19">100*R47/106</f>
        <v>163.85421833330562</v>
      </c>
    </row>
    <row r="48" spans="1:20" s="9" customFormat="1" ht="15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1"/>
      <c r="S48" s="20"/>
    </row>
    <row r="49" spans="1:21" s="9" customFormat="1" ht="15">
      <c r="A49" s="9" t="s">
        <v>370</v>
      </c>
      <c r="B49" s="10">
        <f>SUM(B37:B39)+SUM(B41:B46)</f>
        <v>3453.7126743560129</v>
      </c>
      <c r="C49" s="10"/>
      <c r="D49" s="10">
        <f>SUM(D37:D39)+SUM(D41:D46)</f>
        <v>637.50481938754888</v>
      </c>
      <c r="G49" s="10"/>
      <c r="H49" s="10">
        <f>SUM(H37:H39)+SUM(H41:H46)</f>
        <v>544.94044015290979</v>
      </c>
      <c r="I49" s="10">
        <f t="shared" ref="I49:K49" si="20">SUM(I37:I39)+SUM(I41:I46)</f>
        <v>609.61626610791984</v>
      </c>
      <c r="J49" s="10">
        <f t="shared" si="20"/>
        <v>1154.5567069817491</v>
      </c>
      <c r="K49" s="25">
        <f t="shared" si="20"/>
        <v>5245.7742007253109</v>
      </c>
      <c r="L49" s="24"/>
      <c r="M49" s="9" t="s">
        <v>259</v>
      </c>
      <c r="N49" s="236">
        <f>SUM(N37:N39)+SUM(N41:N46)</f>
        <v>6.3644034899998898</v>
      </c>
      <c r="O49" s="236">
        <f t="shared" ref="O49:P49" si="21">SUM(O37:O39)+SUM(O41:O46)</f>
        <v>31.251730939999618</v>
      </c>
      <c r="P49" s="236">
        <f t="shared" si="21"/>
        <v>31.443321000000001</v>
      </c>
      <c r="Q49" s="18">
        <f>P49/N49</f>
        <v>4.9404977307622815</v>
      </c>
      <c r="R49" s="23">
        <f>K52/SUM(P37:P39)</f>
        <v>173.01124959321794</v>
      </c>
      <c r="S49" s="20">
        <f t="shared" si="15"/>
        <v>163.21815999360183</v>
      </c>
    </row>
    <row r="50" spans="1:21" ht="15">
      <c r="A50" s="150"/>
      <c r="B50" s="10"/>
      <c r="C50" s="170" t="s">
        <v>380</v>
      </c>
      <c r="D50" s="159">
        <f>100*D49/$K49</f>
        <v>12.15273084570441</v>
      </c>
      <c r="E50" s="158">
        <f>D49/B49</f>
        <v>0.18458536638587617</v>
      </c>
      <c r="F50" s="159">
        <f>100*D49/K49</f>
        <v>12.15273084570441</v>
      </c>
      <c r="G50" s="10"/>
      <c r="H50" s="171"/>
      <c r="I50" s="10"/>
      <c r="J50" s="10"/>
      <c r="K50" s="10"/>
      <c r="L50" s="151"/>
      <c r="M50" s="10" t="s">
        <v>376</v>
      </c>
      <c r="N50" s="157"/>
      <c r="O50" s="157"/>
      <c r="P50" s="157"/>
      <c r="Q50" s="157"/>
      <c r="R50" s="157"/>
      <c r="S50" s="157"/>
      <c r="T50" s="157"/>
      <c r="U50" s="9"/>
    </row>
    <row r="51" spans="1:21" ht="15">
      <c r="A51" s="150" t="s">
        <v>374</v>
      </c>
      <c r="B51" s="10">
        <v>64.575654735445312</v>
      </c>
      <c r="C51" s="10" t="s">
        <v>214</v>
      </c>
      <c r="E51" s="10"/>
      <c r="F51" s="10"/>
      <c r="G51" s="10"/>
      <c r="H51" s="10"/>
      <c r="I51" s="10"/>
      <c r="J51" s="242">
        <f>100*J49/$K49</f>
        <v>22.009271897789912</v>
      </c>
      <c r="K51" s="11" t="s">
        <v>215</v>
      </c>
      <c r="L51" s="11"/>
      <c r="M51" s="9"/>
      <c r="N51" s="157"/>
      <c r="O51" s="150"/>
      <c r="P51" s="157"/>
      <c r="Q51" s="150"/>
      <c r="R51" s="150"/>
      <c r="S51" s="150"/>
      <c r="T51" s="150"/>
    </row>
    <row r="52" spans="1:21" ht="15">
      <c r="A52" s="150" t="s">
        <v>375</v>
      </c>
      <c r="B52" s="10">
        <v>62.4</v>
      </c>
      <c r="C52" s="10" t="s">
        <v>214</v>
      </c>
      <c r="D52" s="172"/>
      <c r="E52" s="172"/>
      <c r="F52" s="172"/>
      <c r="G52" s="10"/>
      <c r="H52" s="10"/>
      <c r="I52" s="10"/>
      <c r="J52" s="242" t="s">
        <v>0</v>
      </c>
      <c r="K52" s="10">
        <f>K37+K38+K39</f>
        <v>2761.0815149319269</v>
      </c>
      <c r="L52" s="10"/>
      <c r="N52" s="157"/>
      <c r="O52" s="150"/>
      <c r="P52" s="157"/>
      <c r="Q52" s="150"/>
      <c r="R52" s="150"/>
      <c r="S52" s="150"/>
      <c r="T52" s="150"/>
    </row>
    <row r="53" spans="1:21" ht="15">
      <c r="A53" s="150" t="s">
        <v>377</v>
      </c>
      <c r="B53" s="10">
        <v>77.430000000000007</v>
      </c>
      <c r="C53" s="10" t="s">
        <v>350</v>
      </c>
      <c r="D53" s="170"/>
      <c r="E53" s="170"/>
      <c r="F53" s="170"/>
      <c r="G53" s="10"/>
      <c r="H53" s="10"/>
      <c r="I53" s="10"/>
      <c r="J53" s="10"/>
      <c r="K53" s="10"/>
      <c r="L53" s="151"/>
      <c r="M53" s="151"/>
      <c r="N53" s="157"/>
      <c r="O53" s="150"/>
      <c r="P53" s="150"/>
      <c r="Q53" s="150"/>
      <c r="R53" s="150"/>
      <c r="S53" s="150"/>
      <c r="T53" s="150"/>
    </row>
    <row r="54" spans="1:21" ht="15">
      <c r="A54" s="150"/>
      <c r="B54" s="10"/>
      <c r="C54" s="10"/>
      <c r="D54" s="10"/>
      <c r="E54" s="10"/>
      <c r="F54" s="10"/>
      <c r="G54" s="10"/>
      <c r="H54" s="10"/>
      <c r="I54" s="10"/>
      <c r="J54" s="170" t="s">
        <v>1</v>
      </c>
      <c r="K54" s="10">
        <f>K39+K43+K44</f>
        <v>1602.5022914611343</v>
      </c>
      <c r="L54" s="151"/>
      <c r="M54" s="151"/>
      <c r="N54" s="157"/>
      <c r="O54" s="150"/>
      <c r="P54" s="150"/>
      <c r="Q54" s="150"/>
      <c r="R54" s="150"/>
      <c r="S54" s="150"/>
      <c r="T54" s="150"/>
    </row>
    <row r="55" spans="1:21" ht="15">
      <c r="A55" s="15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51"/>
      <c r="M55" s="151"/>
      <c r="N55" s="157"/>
      <c r="O55" s="150"/>
      <c r="P55" s="150"/>
      <c r="Q55" s="150"/>
      <c r="R55" s="150"/>
      <c r="S55" s="150"/>
      <c r="T55" s="150"/>
    </row>
    <row r="56" spans="1:21" ht="15">
      <c r="A56" s="161"/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57"/>
      <c r="O56" s="150"/>
      <c r="P56" s="150"/>
      <c r="Q56" s="150"/>
      <c r="R56" s="150"/>
      <c r="S56" s="150"/>
      <c r="T56" s="150"/>
    </row>
    <row r="57" spans="1:21" ht="15">
      <c r="A57" s="161"/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57"/>
      <c r="O57" s="150"/>
      <c r="P57" s="150"/>
      <c r="Q57" s="150"/>
      <c r="R57" s="150"/>
      <c r="S57" s="150"/>
      <c r="T57" s="150"/>
    </row>
    <row r="58" spans="1:21" ht="15">
      <c r="A58" s="150"/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7"/>
      <c r="O58" s="150"/>
      <c r="P58" s="150"/>
      <c r="Q58" s="150"/>
      <c r="R58" s="150"/>
      <c r="S58" s="150"/>
      <c r="T58" s="150"/>
    </row>
  </sheetData>
  <phoneticPr fontId="51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H70"/>
  <sheetViews>
    <sheetView topLeftCell="G33" workbookViewId="0">
      <selection activeCell="S70" sqref="S70"/>
    </sheetView>
  </sheetViews>
  <sheetFormatPr baseColWidth="10" defaultColWidth="10.83203125" defaultRowHeight="14"/>
  <cols>
    <col min="1" max="1" width="19" style="32" customWidth="1"/>
    <col min="2" max="2" width="13.5" style="32" customWidth="1"/>
    <col min="3" max="3" width="12.33203125" style="32" customWidth="1"/>
    <col min="4" max="4" width="14.33203125" style="32" customWidth="1"/>
    <col min="5" max="6" width="8.33203125" style="32" customWidth="1"/>
    <col min="7" max="7" width="14" style="32" customWidth="1"/>
    <col min="8" max="8" width="7.83203125" style="32" customWidth="1"/>
    <col min="9" max="9" width="8" style="32" customWidth="1"/>
    <col min="10" max="11" width="10.83203125" style="32"/>
    <col min="12" max="12" width="12.6640625" style="32" customWidth="1"/>
    <col min="13" max="13" width="9.6640625" style="32" customWidth="1"/>
    <col min="14" max="16" width="10.6640625" style="32" customWidth="1"/>
    <col min="17" max="17" width="11.6640625" style="32" customWidth="1"/>
    <col min="18" max="18" width="13.33203125" style="32" customWidth="1"/>
    <col min="19" max="19" width="13.33203125" style="49" customWidth="1"/>
    <col min="20" max="20" width="12.6640625" style="32" customWidth="1"/>
    <col min="21" max="21" width="16.1640625" style="32" customWidth="1"/>
    <col min="22" max="23" width="10.83203125" style="32"/>
    <col min="24" max="24" width="4.33203125" style="32" customWidth="1"/>
    <col min="25" max="25" width="10.6640625" style="32" customWidth="1"/>
    <col min="26" max="26" width="12.6640625" style="32" customWidth="1"/>
    <col min="27" max="27" width="12.83203125" style="32" customWidth="1"/>
    <col min="28" max="28" width="10.83203125" style="32"/>
    <col min="29" max="29" width="14.1640625" style="32" customWidth="1"/>
    <col min="30" max="16384" width="10.83203125" style="32"/>
  </cols>
  <sheetData>
    <row r="1" spans="1:33" ht="18">
      <c r="A1" s="100" t="s">
        <v>79</v>
      </c>
      <c r="B1" s="26"/>
      <c r="D1" s="49"/>
      <c r="M1" s="26" t="s">
        <v>83</v>
      </c>
      <c r="R1" s="175" t="s">
        <v>298</v>
      </c>
      <c r="S1" s="244"/>
      <c r="AG1" s="65" t="s">
        <v>18</v>
      </c>
    </row>
    <row r="2" spans="1:33" ht="20">
      <c r="A2" s="101" t="s">
        <v>80</v>
      </c>
      <c r="B2" s="81"/>
      <c r="C2" s="102" t="s">
        <v>32</v>
      </c>
      <c r="M2" s="125" t="s">
        <v>63</v>
      </c>
      <c r="O2" s="126" t="s">
        <v>65</v>
      </c>
      <c r="R2" s="175" t="s">
        <v>299</v>
      </c>
      <c r="S2" s="244"/>
      <c r="AG2" s="76" t="s">
        <v>308</v>
      </c>
    </row>
    <row r="3" spans="1:33" ht="20">
      <c r="A3" s="101" t="s">
        <v>81</v>
      </c>
      <c r="D3" s="140"/>
      <c r="E3" s="82"/>
      <c r="F3" s="82"/>
      <c r="G3" s="34"/>
      <c r="H3" s="34"/>
      <c r="I3" s="34"/>
      <c r="J3" s="34"/>
      <c r="K3" s="34"/>
      <c r="L3" s="34"/>
      <c r="M3" s="137"/>
      <c r="N3" s="34"/>
      <c r="O3" s="34" t="s">
        <v>66</v>
      </c>
      <c r="P3" s="34"/>
      <c r="Q3" s="34"/>
      <c r="R3" s="251" t="s">
        <v>7</v>
      </c>
      <c r="S3" s="245"/>
      <c r="U3" s="83" t="s">
        <v>351</v>
      </c>
      <c r="V3" s="83" t="s">
        <v>351</v>
      </c>
      <c r="W3" s="83" t="s">
        <v>351</v>
      </c>
      <c r="X3" s="83"/>
      <c r="AG3" s="77" t="s">
        <v>200</v>
      </c>
    </row>
    <row r="4" spans="1:33" ht="20">
      <c r="A4" s="101" t="s">
        <v>82</v>
      </c>
      <c r="B4" s="34" t="s">
        <v>353</v>
      </c>
      <c r="C4" s="34"/>
      <c r="D4" s="141"/>
      <c r="E4" s="210" t="s">
        <v>300</v>
      </c>
      <c r="F4" s="48"/>
      <c r="G4" s="48"/>
      <c r="H4" s="48"/>
      <c r="I4" s="48"/>
      <c r="J4" s="48"/>
      <c r="K4" s="48"/>
      <c r="L4" s="48"/>
      <c r="M4" s="34"/>
      <c r="N4" s="34"/>
      <c r="O4" s="34" t="s">
        <v>67</v>
      </c>
      <c r="P4" s="34"/>
      <c r="Q4" s="34"/>
      <c r="R4" s="103" t="s">
        <v>210</v>
      </c>
      <c r="S4" s="245"/>
      <c r="U4" s="83" t="s">
        <v>352</v>
      </c>
      <c r="V4" s="56"/>
      <c r="W4" s="56"/>
      <c r="X4" s="56"/>
      <c r="Y4" s="49"/>
      <c r="AC4" s="65" t="s">
        <v>28</v>
      </c>
      <c r="AG4" s="77" t="s">
        <v>68</v>
      </c>
    </row>
    <row r="5" spans="1:33" ht="18">
      <c r="A5" s="136" t="s">
        <v>70</v>
      </c>
      <c r="B5" s="58" t="s">
        <v>357</v>
      </c>
      <c r="C5" s="34"/>
      <c r="D5" s="48"/>
      <c r="E5" s="48"/>
      <c r="F5" s="48"/>
      <c r="G5" s="48"/>
      <c r="H5" s="211" t="s">
        <v>354</v>
      </c>
      <c r="I5" s="212"/>
      <c r="J5" s="48" t="s">
        <v>353</v>
      </c>
      <c r="K5" s="48"/>
      <c r="L5" s="48"/>
      <c r="M5" s="34"/>
      <c r="N5" s="34"/>
      <c r="O5" s="34" t="s">
        <v>164</v>
      </c>
      <c r="P5" s="34"/>
      <c r="Q5" s="34"/>
      <c r="R5" s="105" t="s">
        <v>31</v>
      </c>
      <c r="S5" s="246"/>
      <c r="U5" s="83" t="s">
        <v>355</v>
      </c>
      <c r="V5" s="56"/>
      <c r="W5" s="56"/>
      <c r="X5" s="56"/>
      <c r="Y5" s="49">
        <v>1870</v>
      </c>
      <c r="Z5" s="71" t="s">
        <v>356</v>
      </c>
      <c r="AG5" s="26" t="s">
        <v>113</v>
      </c>
    </row>
    <row r="6" spans="1:33" ht="15">
      <c r="B6" s="133" t="s">
        <v>440</v>
      </c>
      <c r="C6" s="35"/>
      <c r="D6" s="142"/>
      <c r="E6" s="201"/>
      <c r="F6" s="201"/>
      <c r="G6" s="48"/>
      <c r="H6" s="90" t="s">
        <v>358</v>
      </c>
      <c r="I6" s="90" t="s">
        <v>358</v>
      </c>
      <c r="J6" s="48"/>
      <c r="K6" s="48"/>
      <c r="L6" s="48"/>
      <c r="M6" s="27" t="s">
        <v>206</v>
      </c>
      <c r="N6" s="27" t="s">
        <v>250</v>
      </c>
      <c r="O6" s="27"/>
      <c r="P6" s="27"/>
      <c r="Q6" s="27" t="s">
        <v>168</v>
      </c>
      <c r="R6" s="105"/>
      <c r="S6" s="246"/>
      <c r="U6" s="83" t="s">
        <v>359</v>
      </c>
      <c r="V6" s="56"/>
      <c r="W6" s="56"/>
      <c r="X6" s="56"/>
      <c r="Y6" s="99" t="s">
        <v>360</v>
      </c>
      <c r="Z6" s="56" t="s">
        <v>361</v>
      </c>
      <c r="AA6" s="56" t="s">
        <v>439</v>
      </c>
      <c r="AC6" s="35" t="s">
        <v>357</v>
      </c>
      <c r="AG6" s="26" t="s">
        <v>17</v>
      </c>
    </row>
    <row r="7" spans="1:33" ht="15">
      <c r="B7" s="49"/>
      <c r="C7" s="141" t="s">
        <v>71</v>
      </c>
      <c r="D7" s="47" t="s">
        <v>73</v>
      </c>
      <c r="E7" s="47"/>
      <c r="F7" s="90" t="s">
        <v>441</v>
      </c>
      <c r="G7" s="143" t="s">
        <v>69</v>
      </c>
      <c r="H7" s="90" t="s">
        <v>442</v>
      </c>
      <c r="I7" s="90" t="s">
        <v>443</v>
      </c>
      <c r="J7" s="194" t="s">
        <v>295</v>
      </c>
      <c r="K7" s="194" t="s">
        <v>296</v>
      </c>
      <c r="L7" s="195" t="s">
        <v>297</v>
      </c>
      <c r="M7" s="90" t="s">
        <v>252</v>
      </c>
      <c r="N7" s="90" t="s">
        <v>252</v>
      </c>
      <c r="O7" s="127" t="s">
        <v>167</v>
      </c>
      <c r="P7" s="127" t="s">
        <v>166</v>
      </c>
      <c r="Q7" s="127" t="s">
        <v>301</v>
      </c>
      <c r="R7" s="104" t="s">
        <v>169</v>
      </c>
      <c r="S7" s="203"/>
      <c r="T7" s="84" t="s">
        <v>170</v>
      </c>
      <c r="U7" s="56" t="s">
        <v>171</v>
      </c>
      <c r="V7" s="85" t="s">
        <v>172</v>
      </c>
      <c r="W7" s="85" t="s">
        <v>173</v>
      </c>
      <c r="X7" s="85"/>
      <c r="Y7" s="86" t="s">
        <v>174</v>
      </c>
      <c r="Z7" s="56" t="s">
        <v>175</v>
      </c>
      <c r="AA7" s="56" t="s">
        <v>175</v>
      </c>
      <c r="AD7" s="42" t="s">
        <v>27</v>
      </c>
      <c r="AE7" s="56"/>
      <c r="AG7" s="26" t="s">
        <v>20</v>
      </c>
    </row>
    <row r="8" spans="1:33" ht="15">
      <c r="B8" s="47" t="s">
        <v>176</v>
      </c>
      <c r="C8" s="141" t="s">
        <v>72</v>
      </c>
      <c r="D8" s="47" t="s">
        <v>74</v>
      </c>
      <c r="E8" s="47" t="s">
        <v>179</v>
      </c>
      <c r="F8" s="90" t="s">
        <v>180</v>
      </c>
      <c r="G8" s="143" t="s">
        <v>211</v>
      </c>
      <c r="H8" s="90" t="s">
        <v>182</v>
      </c>
      <c r="I8" s="90" t="s">
        <v>183</v>
      </c>
      <c r="J8" s="194" t="s">
        <v>184</v>
      </c>
      <c r="K8" s="194" t="s">
        <v>184</v>
      </c>
      <c r="L8" s="195" t="s">
        <v>185</v>
      </c>
      <c r="M8" s="90" t="s">
        <v>251</v>
      </c>
      <c r="N8" s="90" t="s">
        <v>251</v>
      </c>
      <c r="O8" s="127" t="s">
        <v>165</v>
      </c>
      <c r="P8" s="127" t="s">
        <v>165</v>
      </c>
      <c r="Q8" s="127" t="s">
        <v>165</v>
      </c>
      <c r="R8" s="104" t="s">
        <v>186</v>
      </c>
      <c r="S8" s="203"/>
      <c r="T8" s="84" t="s">
        <v>187</v>
      </c>
      <c r="U8" s="54" t="s">
        <v>188</v>
      </c>
      <c r="V8" s="85" t="s">
        <v>189</v>
      </c>
      <c r="W8" s="85" t="s">
        <v>190</v>
      </c>
      <c r="X8" s="85"/>
      <c r="Y8" s="86" t="s">
        <v>190</v>
      </c>
      <c r="Z8" s="85" t="s">
        <v>190</v>
      </c>
      <c r="AA8" s="85" t="s">
        <v>190</v>
      </c>
      <c r="AB8" s="87" t="s">
        <v>191</v>
      </c>
      <c r="AD8" s="56" t="s">
        <v>272</v>
      </c>
      <c r="AE8" s="56" t="s">
        <v>273</v>
      </c>
    </row>
    <row r="9" spans="1:33">
      <c r="A9" s="32" t="s">
        <v>274</v>
      </c>
      <c r="B9" s="12">
        <v>661.9115166135</v>
      </c>
      <c r="C9" s="12">
        <v>26.405701360959998</v>
      </c>
      <c r="D9" s="12">
        <v>111.729297735</v>
      </c>
      <c r="E9" s="48">
        <f>B9+C9+D9</f>
        <v>800.0465157094601</v>
      </c>
      <c r="F9" s="90">
        <f>100*E9/R9</f>
        <v>74.290025397136247</v>
      </c>
      <c r="G9" s="12">
        <v>87.574700410160006</v>
      </c>
      <c r="H9" s="91">
        <f>G9/D9</f>
        <v>0.7838114280273204</v>
      </c>
      <c r="I9" s="92">
        <f>100*G9/R9</f>
        <v>8.1319355685814099</v>
      </c>
      <c r="J9" s="48">
        <v>89.903376603630008</v>
      </c>
      <c r="K9" s="48">
        <v>99.398603133270001</v>
      </c>
      <c r="L9" s="48">
        <f>J9+K9</f>
        <v>189.30197973690002</v>
      </c>
      <c r="M9" s="196">
        <f>100*K9/$R9</f>
        <v>9.2298692716163782</v>
      </c>
      <c r="N9" s="196">
        <f>100*L9/$R9</f>
        <v>17.578039034282344</v>
      </c>
      <c r="O9" s="28">
        <f>J9/0.05</f>
        <v>1798.0675320726</v>
      </c>
      <c r="P9" s="28">
        <f>K9/0.073</f>
        <v>1361.6247004557536</v>
      </c>
      <c r="Q9" s="28">
        <f>O9+P9</f>
        <v>3159.6922325283535</v>
      </c>
      <c r="R9" s="105">
        <f>E9+G9+L9</f>
        <v>1076.9231958565201</v>
      </c>
      <c r="S9" s="246"/>
      <c r="T9" s="88">
        <v>774107.4141846</v>
      </c>
      <c r="U9" s="88">
        <v>3448028.071732</v>
      </c>
      <c r="V9" s="51">
        <f t="shared" ref="V9:V17" si="0">U9/T9</f>
        <v>4.454198485314798</v>
      </c>
      <c r="W9" s="51">
        <f t="shared" ref="W9:W17" si="1">1000000*R9/U9</f>
        <v>312.3301705938735</v>
      </c>
      <c r="X9" s="51"/>
      <c r="Y9" s="88">
        <f>Z9*V9</f>
        <v>1146.6383086571896</v>
      </c>
      <c r="Z9" s="34">
        <f>W9-AA9</f>
        <v>257.42865129104177</v>
      </c>
      <c r="AA9" s="51">
        <f>W9*L9/R9</f>
        <v>54.901519302831723</v>
      </c>
      <c r="AB9" s="52">
        <f>AA9/W9</f>
        <v>0.17578039034282344</v>
      </c>
      <c r="AC9" s="32" t="s">
        <v>274</v>
      </c>
      <c r="AD9" s="51">
        <f>1000000*R9/U9</f>
        <v>312.3301705938735</v>
      </c>
      <c r="AE9" s="51">
        <f>1000000*R9/T9</f>
        <v>1391.1805727773435</v>
      </c>
    </row>
    <row r="10" spans="1:33">
      <c r="A10" s="32" t="s">
        <v>275</v>
      </c>
      <c r="B10" s="12">
        <v>1709.1286872200001</v>
      </c>
      <c r="C10" s="12">
        <v>57.022060839599995</v>
      </c>
      <c r="D10" s="12">
        <v>246.122581881</v>
      </c>
      <c r="E10" s="48">
        <f t="shared" ref="E10:E19" si="2">B10+C10+D10</f>
        <v>2012.2733299406002</v>
      </c>
      <c r="F10" s="90">
        <f t="shared" ref="F10:F21" si="3">100*E10/R10</f>
        <v>75.987495241844414</v>
      </c>
      <c r="G10" s="12">
        <v>168.49696648240001</v>
      </c>
      <c r="H10" s="91">
        <f t="shared" ref="H10:H17" si="4">G10/D10</f>
        <v>0.68460587888627022</v>
      </c>
      <c r="I10" s="92">
        <f t="shared" ref="I10:I17" si="5">100*G10/R10</f>
        <v>6.3627849399686358</v>
      </c>
      <c r="J10" s="48">
        <v>276.07633568360001</v>
      </c>
      <c r="K10" s="48">
        <v>191.3171526532</v>
      </c>
      <c r="L10" s="48">
        <f t="shared" ref="L10:L19" si="6">J10+K10</f>
        <v>467.39348833680003</v>
      </c>
      <c r="M10" s="196">
        <f t="shared" ref="M10:M55" si="7">100*K10/$R10</f>
        <v>7.224521147605425</v>
      </c>
      <c r="N10" s="196">
        <f t="shared" ref="N10:N55" si="8">100*L10/$R10</f>
        <v>17.649719818186945</v>
      </c>
      <c r="O10" s="28">
        <f t="shared" ref="O10:O57" si="9">J10/0.05</f>
        <v>5521.5267136719995</v>
      </c>
      <c r="P10" s="28">
        <f t="shared" ref="P10:P57" si="10">K10/0.073</f>
        <v>2620.7829130575342</v>
      </c>
      <c r="Q10" s="28">
        <f t="shared" ref="Q10:Q57" si="11">O10+P10</f>
        <v>8142.3096267295332</v>
      </c>
      <c r="R10" s="105">
        <f t="shared" ref="R10:R19" si="12">E10+G10+L10</f>
        <v>2648.1637847598004</v>
      </c>
      <c r="S10" s="246"/>
      <c r="T10" s="88">
        <v>1841816.4937519999</v>
      </c>
      <c r="U10" s="88">
        <v>8629882.097321</v>
      </c>
      <c r="V10" s="51">
        <f t="shared" si="0"/>
        <v>4.6855276443642335</v>
      </c>
      <c r="W10" s="51">
        <f t="shared" si="1"/>
        <v>306.85978729441479</v>
      </c>
      <c r="X10" s="51"/>
      <c r="Y10" s="88">
        <f t="shared" ref="Y10:Y19" si="13">Z10*V10</f>
        <v>1184.0323418868461</v>
      </c>
      <c r="Z10" s="34">
        <f t="shared" ref="Z10:Z19" si="14">W10-AA10</f>
        <v>252.69989460226614</v>
      </c>
      <c r="AA10" s="51">
        <f t="shared" ref="AA10:AA19" si="15">W10*L10/R10</f>
        <v>54.159892692148638</v>
      </c>
      <c r="AB10" s="52">
        <f t="shared" ref="AB10:AB19" si="16">AA10/W10</f>
        <v>0.17649719818186946</v>
      </c>
      <c r="AC10" s="32" t="s">
        <v>275</v>
      </c>
      <c r="AD10" s="51">
        <f t="shared" ref="AD10:AD17" si="17">1000000*R10/U10</f>
        <v>306.85978729441479</v>
      </c>
      <c r="AE10" s="51">
        <f t="shared" ref="AE10:AE17" si="18">1000000*R10/T10</f>
        <v>1437.8000163117092</v>
      </c>
    </row>
    <row r="11" spans="1:33" ht="15">
      <c r="A11" s="32" t="s">
        <v>276</v>
      </c>
      <c r="B11" s="138">
        <v>295.55269064369998</v>
      </c>
      <c r="C11" s="138">
        <v>32.167766525819999</v>
      </c>
      <c r="D11" s="138">
        <v>113.0707559849</v>
      </c>
      <c r="E11" s="48">
        <f t="shared" si="2"/>
        <v>440.79121315442001</v>
      </c>
      <c r="F11" s="90">
        <f t="shared" si="3"/>
        <v>63.587547381365042</v>
      </c>
      <c r="G11" s="138">
        <v>158.01157897909999</v>
      </c>
      <c r="H11" s="91">
        <f t="shared" si="4"/>
        <v>1.3974575265084599</v>
      </c>
      <c r="I11" s="92">
        <f t="shared" si="5"/>
        <v>22.794394410076215</v>
      </c>
      <c r="J11" s="89">
        <v>58.423043586630001</v>
      </c>
      <c r="K11" s="89">
        <v>35.977835921379999</v>
      </c>
      <c r="L11" s="48">
        <f t="shared" si="6"/>
        <v>94.400879508010007</v>
      </c>
      <c r="M11" s="196">
        <f t="shared" si="7"/>
        <v>5.1900815580193411</v>
      </c>
      <c r="N11" s="196">
        <f t="shared" si="8"/>
        <v>13.618058208558747</v>
      </c>
      <c r="O11" s="28">
        <f t="shared" si="9"/>
        <v>1168.4608717326</v>
      </c>
      <c r="P11" s="28">
        <f t="shared" si="10"/>
        <v>492.84706741616441</v>
      </c>
      <c r="Q11" s="28">
        <f t="shared" si="11"/>
        <v>1661.3079391487645</v>
      </c>
      <c r="R11" s="105">
        <f t="shared" si="12"/>
        <v>693.20367164153004</v>
      </c>
      <c r="S11" s="159" t="s">
        <v>4</v>
      </c>
      <c r="T11" s="88">
        <v>728387.87294010003</v>
      </c>
      <c r="U11" s="88">
        <v>3801264.8460690002</v>
      </c>
      <c r="V11" s="51">
        <f t="shared" si="0"/>
        <v>5.2187371416898953</v>
      </c>
      <c r="W11" s="51">
        <f t="shared" si="1"/>
        <v>182.36131911681775</v>
      </c>
      <c r="X11" s="51"/>
      <c r="Y11" s="88">
        <f t="shared" si="13"/>
        <v>822.09330272960688</v>
      </c>
      <c r="Z11" s="34">
        <f t="shared" si="14"/>
        <v>157.52724852959395</v>
      </c>
      <c r="AA11" s="51">
        <f t="shared" si="15"/>
        <v>24.834070587223813</v>
      </c>
      <c r="AB11" s="52">
        <f t="shared" si="16"/>
        <v>0.13618058208558748</v>
      </c>
      <c r="AC11" s="32" t="s">
        <v>276</v>
      </c>
      <c r="AD11" s="51">
        <f t="shared" si="17"/>
        <v>182.36131911681775</v>
      </c>
      <c r="AE11" s="51">
        <f t="shared" si="18"/>
        <v>951.6957892825003</v>
      </c>
    </row>
    <row r="12" spans="1:33" ht="15">
      <c r="A12" s="49" t="s">
        <v>277</v>
      </c>
      <c r="B12" s="138">
        <v>996.25140097799999</v>
      </c>
      <c r="C12" s="138">
        <v>90.670684211549997</v>
      </c>
      <c r="D12" s="138">
        <v>293.54821597039995</v>
      </c>
      <c r="E12" s="48">
        <f t="shared" si="2"/>
        <v>1380.4703011599499</v>
      </c>
      <c r="F12" s="90">
        <f t="shared" si="3"/>
        <v>69.140741889584362</v>
      </c>
      <c r="G12" s="138">
        <v>234.0544893398</v>
      </c>
      <c r="H12" s="91">
        <f t="shared" si="4"/>
        <v>0.79732894497781914</v>
      </c>
      <c r="I12" s="92">
        <f t="shared" si="5"/>
        <v>11.722599915365043</v>
      </c>
      <c r="J12" s="89">
        <v>251.27248707019999</v>
      </c>
      <c r="K12" s="89">
        <v>130.81175992710001</v>
      </c>
      <c r="L12" s="48">
        <f t="shared" si="6"/>
        <v>382.0842469973</v>
      </c>
      <c r="M12" s="196">
        <f t="shared" si="7"/>
        <v>6.5516962745538656</v>
      </c>
      <c r="N12" s="196">
        <f t="shared" si="8"/>
        <v>19.136658195050593</v>
      </c>
      <c r="O12" s="28">
        <f t="shared" si="9"/>
        <v>5025.4497414039997</v>
      </c>
      <c r="P12" s="28">
        <f t="shared" si="10"/>
        <v>1791.9419168095894</v>
      </c>
      <c r="Q12" s="28">
        <f t="shared" si="11"/>
        <v>6817.3916582135889</v>
      </c>
      <c r="R12" s="105">
        <f t="shared" si="12"/>
        <v>1996.6090374970499</v>
      </c>
      <c r="S12" s="159" t="s">
        <v>5</v>
      </c>
      <c r="T12" s="88">
        <v>1797913.6696550001</v>
      </c>
      <c r="U12" s="88">
        <v>8956028.9181900006</v>
      </c>
      <c r="V12" s="51">
        <f t="shared" si="0"/>
        <v>4.9813453612088976</v>
      </c>
      <c r="W12" s="51">
        <f t="shared" si="1"/>
        <v>222.93463495209008</v>
      </c>
      <c r="X12" s="51"/>
      <c r="Y12" s="88">
        <f t="shared" si="13"/>
        <v>897.99906288579461</v>
      </c>
      <c r="Z12" s="34">
        <f t="shared" si="14"/>
        <v>180.27239586292481</v>
      </c>
      <c r="AA12" s="51">
        <f t="shared" si="15"/>
        <v>42.662239089165276</v>
      </c>
      <c r="AB12" s="52">
        <f t="shared" si="16"/>
        <v>0.19136658195050596</v>
      </c>
      <c r="AC12" s="49" t="s">
        <v>277</v>
      </c>
      <c r="AD12" s="51">
        <f t="shared" si="17"/>
        <v>222.93463495209008</v>
      </c>
      <c r="AE12" s="51">
        <f t="shared" si="18"/>
        <v>1110.5144096713927</v>
      </c>
    </row>
    <row r="13" spans="1:33">
      <c r="A13" s="53" t="s">
        <v>278</v>
      </c>
      <c r="B13" s="12">
        <v>417.92575114139999</v>
      </c>
      <c r="C13" s="12">
        <v>25.725470710939998</v>
      </c>
      <c r="D13" s="12">
        <v>182.33510594409998</v>
      </c>
      <c r="E13" s="48">
        <f t="shared" si="2"/>
        <v>625.98632779643992</v>
      </c>
      <c r="F13" s="90">
        <f t="shared" si="3"/>
        <v>72.567885237543692</v>
      </c>
      <c r="G13" s="12">
        <v>100.9908050107</v>
      </c>
      <c r="H13" s="91">
        <f t="shared" si="4"/>
        <v>0.55387471594011972</v>
      </c>
      <c r="I13" s="92">
        <f t="shared" si="5"/>
        <v>11.707426860042853</v>
      </c>
      <c r="J13" s="48">
        <v>84.206434137449989</v>
      </c>
      <c r="K13" s="48">
        <v>51.438136509130004</v>
      </c>
      <c r="L13" s="48">
        <f t="shared" si="6"/>
        <v>135.64457064658001</v>
      </c>
      <c r="M13" s="196">
        <f t="shared" si="7"/>
        <v>5.9630005022114174</v>
      </c>
      <c r="N13" s="196">
        <f t="shared" si="8"/>
        <v>15.724687902413461</v>
      </c>
      <c r="O13" s="28">
        <f t="shared" si="9"/>
        <v>1684.1286827489996</v>
      </c>
      <c r="P13" s="28">
        <f t="shared" si="10"/>
        <v>704.63200697438367</v>
      </c>
      <c r="Q13" s="28">
        <f t="shared" si="11"/>
        <v>2388.7606897233832</v>
      </c>
      <c r="R13" s="105">
        <f t="shared" si="12"/>
        <v>862.62170345371987</v>
      </c>
      <c r="S13" s="246"/>
      <c r="T13" s="88">
        <v>739733.06082919997</v>
      </c>
      <c r="U13" s="88">
        <v>3718054.4792559999</v>
      </c>
      <c r="V13" s="51">
        <f t="shared" si="0"/>
        <v>5.026211043059595</v>
      </c>
      <c r="W13" s="51">
        <f t="shared" si="1"/>
        <v>232.00889289452653</v>
      </c>
      <c r="X13" s="51"/>
      <c r="Y13" s="88">
        <f t="shared" si="13"/>
        <v>982.75603903959438</v>
      </c>
      <c r="Z13" s="34">
        <f t="shared" si="14"/>
        <v>195.5262185810175</v>
      </c>
      <c r="AA13" s="51">
        <f t="shared" si="15"/>
        <v>36.482674313509015</v>
      </c>
      <c r="AB13" s="52">
        <f t="shared" si="16"/>
        <v>0.15724687902413462</v>
      </c>
      <c r="AC13" s="53" t="s">
        <v>278</v>
      </c>
      <c r="AD13" s="51">
        <f t="shared" si="17"/>
        <v>232.00889289452653</v>
      </c>
      <c r="AE13" s="51">
        <f t="shared" si="18"/>
        <v>1166.1256595544999</v>
      </c>
    </row>
    <row r="14" spans="1:33">
      <c r="A14" s="32" t="s">
        <v>423</v>
      </c>
      <c r="B14" s="139">
        <v>206.48666844350001</v>
      </c>
      <c r="C14" s="139">
        <v>38.26908037402</v>
      </c>
      <c r="D14" s="139">
        <v>146.5705171214</v>
      </c>
      <c r="E14" s="48">
        <f t="shared" si="2"/>
        <v>391.32626593892002</v>
      </c>
      <c r="F14" s="90">
        <f t="shared" si="3"/>
        <v>61.883995914663636</v>
      </c>
      <c r="G14" s="139">
        <v>159.83804523930002</v>
      </c>
      <c r="H14" s="91">
        <f t="shared" si="4"/>
        <v>1.0905197605798915</v>
      </c>
      <c r="I14" s="92">
        <f t="shared" si="5"/>
        <v>25.276649689904943</v>
      </c>
      <c r="J14" s="213">
        <v>46.84200202121</v>
      </c>
      <c r="K14" s="213">
        <v>34.348240114399999</v>
      </c>
      <c r="L14" s="214">
        <f t="shared" si="6"/>
        <v>81.190242135609992</v>
      </c>
      <c r="M14" s="196">
        <f t="shared" si="7"/>
        <v>5.4318008677883878</v>
      </c>
      <c r="N14" s="196">
        <f t="shared" si="8"/>
        <v>12.839354395431425</v>
      </c>
      <c r="O14" s="28">
        <f t="shared" si="9"/>
        <v>936.84004042419997</v>
      </c>
      <c r="P14" s="28">
        <f t="shared" si="10"/>
        <v>470.52383718356168</v>
      </c>
      <c r="Q14" s="28">
        <f t="shared" si="11"/>
        <v>1407.3638776077617</v>
      </c>
      <c r="R14" s="105">
        <f t="shared" si="12"/>
        <v>632.35455331383002</v>
      </c>
      <c r="S14" s="210" t="s">
        <v>8</v>
      </c>
      <c r="T14" s="88">
        <v>560591.3399999981</v>
      </c>
      <c r="U14" s="88">
        <v>3033899.3985210001</v>
      </c>
      <c r="V14" s="51">
        <f t="shared" si="0"/>
        <v>5.4119626580763986</v>
      </c>
      <c r="W14" s="51">
        <f t="shared" si="1"/>
        <v>208.42963798407339</v>
      </c>
      <c r="X14" s="51"/>
      <c r="Y14" s="88">
        <f t="shared" si="13"/>
        <v>983.18377729171107</v>
      </c>
      <c r="Z14" s="34">
        <f t="shared" si="14"/>
        <v>181.66861809818346</v>
      </c>
      <c r="AA14" s="51">
        <f t="shared" si="15"/>
        <v>26.761019885889937</v>
      </c>
      <c r="AB14" s="52">
        <f t="shared" si="16"/>
        <v>0.12839354395431427</v>
      </c>
      <c r="AC14" s="32" t="s">
        <v>423</v>
      </c>
      <c r="AD14" s="51">
        <f t="shared" si="17"/>
        <v>208.42963798407339</v>
      </c>
      <c r="AE14" s="51">
        <f t="shared" si="18"/>
        <v>1128.0134176061874</v>
      </c>
    </row>
    <row r="15" spans="1:33">
      <c r="A15" s="32" t="s">
        <v>424</v>
      </c>
      <c r="B15" s="138">
        <v>123.3898973567</v>
      </c>
      <c r="C15" s="138">
        <v>10.61242051807</v>
      </c>
      <c r="D15" s="138">
        <v>64.69716627148</v>
      </c>
      <c r="E15" s="48">
        <f t="shared" si="2"/>
        <v>198.69948414625</v>
      </c>
      <c r="F15" s="90">
        <f t="shared" si="3"/>
        <v>62.20078255575018</v>
      </c>
      <c r="G15" s="138">
        <v>91.787610771849998</v>
      </c>
      <c r="H15" s="91">
        <f t="shared" si="4"/>
        <v>1.418726909718024</v>
      </c>
      <c r="I15" s="92">
        <f t="shared" si="5"/>
        <v>28.733145651900394</v>
      </c>
      <c r="J15" s="89">
        <v>16.502526984359999</v>
      </c>
      <c r="K15" s="89">
        <v>12.4589058844</v>
      </c>
      <c r="L15" s="48">
        <f t="shared" si="6"/>
        <v>28.961432868759999</v>
      </c>
      <c r="M15" s="196">
        <f t="shared" si="7"/>
        <v>3.9001293794387855</v>
      </c>
      <c r="N15" s="196">
        <f t="shared" si="8"/>
        <v>9.0660717923494136</v>
      </c>
      <c r="O15" s="28">
        <f t="shared" si="9"/>
        <v>330.05053968719994</v>
      </c>
      <c r="P15" s="28">
        <f t="shared" si="10"/>
        <v>170.66994362191781</v>
      </c>
      <c r="Q15" s="28">
        <f t="shared" si="11"/>
        <v>500.72048330911775</v>
      </c>
      <c r="R15" s="105">
        <f t="shared" si="12"/>
        <v>319.44852778686004</v>
      </c>
      <c r="S15" s="210" t="s">
        <v>8</v>
      </c>
      <c r="T15" s="88">
        <v>260065.8203278</v>
      </c>
      <c r="U15" s="88">
        <v>1337599.433769</v>
      </c>
      <c r="V15" s="51">
        <f t="shared" si="0"/>
        <v>5.143311151319395</v>
      </c>
      <c r="W15" s="51">
        <f t="shared" si="1"/>
        <v>238.82226601033983</v>
      </c>
      <c r="X15" s="51"/>
      <c r="Y15" s="88">
        <f t="shared" si="13"/>
        <v>1116.9752893784948</v>
      </c>
      <c r="Z15" s="34">
        <f t="shared" si="14"/>
        <v>217.17046791772674</v>
      </c>
      <c r="AA15" s="51">
        <f t="shared" si="15"/>
        <v>21.651798092613102</v>
      </c>
      <c r="AB15" s="52">
        <f t="shared" si="16"/>
        <v>9.0660717923494144E-2</v>
      </c>
      <c r="AC15" s="32" t="s">
        <v>424</v>
      </c>
      <c r="AD15" s="51">
        <f t="shared" si="17"/>
        <v>238.82226601033983</v>
      </c>
      <c r="AE15" s="51">
        <f t="shared" si="18"/>
        <v>1228.3372239543478</v>
      </c>
    </row>
    <row r="16" spans="1:33" s="49" customFormat="1">
      <c r="A16" s="49" t="s">
        <v>425</v>
      </c>
      <c r="B16" s="138">
        <v>59.529218998539996</v>
      </c>
      <c r="C16" s="138">
        <v>8.8495495249019989</v>
      </c>
      <c r="D16" s="138">
        <v>7.6199794097289999</v>
      </c>
      <c r="E16" s="48">
        <f t="shared" si="2"/>
        <v>75.998747933170989</v>
      </c>
      <c r="F16" s="90">
        <f t="shared" si="3"/>
        <v>89.685198036871142</v>
      </c>
      <c r="G16" s="138">
        <v>3.2006291298830001</v>
      </c>
      <c r="H16" s="91">
        <f t="shared" si="4"/>
        <v>0.42003120451959708</v>
      </c>
      <c r="I16" s="92">
        <f t="shared" si="5"/>
        <v>3.777023505815519</v>
      </c>
      <c r="J16" s="89">
        <v>2.259321544464</v>
      </c>
      <c r="K16" s="89">
        <v>3.2807562821579999</v>
      </c>
      <c r="L16" s="48">
        <f t="shared" si="6"/>
        <v>5.5400778266219994</v>
      </c>
      <c r="M16" s="196">
        <f t="shared" si="7"/>
        <v>3.8715805836009722</v>
      </c>
      <c r="N16" s="196">
        <f t="shared" si="8"/>
        <v>6.5377784573133484</v>
      </c>
      <c r="O16" s="28">
        <f t="shared" si="9"/>
        <v>45.186430889279997</v>
      </c>
      <c r="P16" s="28">
        <f t="shared" si="10"/>
        <v>44.941866878876716</v>
      </c>
      <c r="Q16" s="28">
        <f t="shared" si="11"/>
        <v>90.128297768156713</v>
      </c>
      <c r="R16" s="105">
        <f t="shared" si="12"/>
        <v>84.739454889675983</v>
      </c>
      <c r="S16" s="246"/>
      <c r="T16" s="88">
        <v>81110.05017853</v>
      </c>
      <c r="U16" s="88">
        <v>296993.00070949999</v>
      </c>
      <c r="V16" s="89">
        <f t="shared" si="0"/>
        <v>3.6616054367589905</v>
      </c>
      <c r="W16" s="89">
        <f t="shared" si="1"/>
        <v>285.32475407581353</v>
      </c>
      <c r="X16" s="89"/>
      <c r="Y16" s="88">
        <f t="shared" si="13"/>
        <v>976.44344799108796</v>
      </c>
      <c r="Z16" s="48">
        <f t="shared" si="14"/>
        <v>266.67085377046271</v>
      </c>
      <c r="AA16" s="89">
        <f t="shared" si="15"/>
        <v>18.653900305350827</v>
      </c>
      <c r="AB16" s="75">
        <f t="shared" si="16"/>
        <v>6.5377784573133479E-2</v>
      </c>
      <c r="AC16" s="49" t="s">
        <v>425</v>
      </c>
      <c r="AD16" s="89">
        <f t="shared" si="17"/>
        <v>285.32475407581353</v>
      </c>
      <c r="AE16" s="89">
        <f t="shared" si="18"/>
        <v>1044.7466707659207</v>
      </c>
    </row>
    <row r="17" spans="1:34" s="49" customFormat="1">
      <c r="A17" s="49" t="s">
        <v>426</v>
      </c>
      <c r="B17" s="12">
        <v>169.8198994121</v>
      </c>
      <c r="C17" s="12">
        <v>10.283023043950001</v>
      </c>
      <c r="D17" s="12">
        <v>25.76192406873</v>
      </c>
      <c r="E17" s="48">
        <f t="shared" si="2"/>
        <v>205.86484652478001</v>
      </c>
      <c r="F17" s="90">
        <f t="shared" si="3"/>
        <v>72.94252376696079</v>
      </c>
      <c r="G17" s="12">
        <v>21.804010975400001</v>
      </c>
      <c r="H17" s="91">
        <f t="shared" si="4"/>
        <v>0.84636578064702317</v>
      </c>
      <c r="I17" s="92">
        <f t="shared" si="5"/>
        <v>7.7256492093551623</v>
      </c>
      <c r="J17" s="48">
        <v>30.203507021099998</v>
      </c>
      <c r="K17" s="48">
        <v>24.356486213970001</v>
      </c>
      <c r="L17" s="48">
        <f t="shared" si="6"/>
        <v>54.559993235069996</v>
      </c>
      <c r="M17" s="196">
        <f t="shared" si="7"/>
        <v>8.6300483279854525</v>
      </c>
      <c r="N17" s="196">
        <f t="shared" si="8"/>
        <v>19.331827023684056</v>
      </c>
      <c r="O17" s="28">
        <f t="shared" si="9"/>
        <v>604.07014042199989</v>
      </c>
      <c r="P17" s="28">
        <f t="shared" si="10"/>
        <v>333.65049608178089</v>
      </c>
      <c r="Q17" s="28">
        <f t="shared" si="11"/>
        <v>937.72063650378072</v>
      </c>
      <c r="R17" s="105">
        <f t="shared" si="12"/>
        <v>282.22885073524998</v>
      </c>
      <c r="S17" s="246"/>
      <c r="T17" s="88">
        <v>157232.60095210001</v>
      </c>
      <c r="U17" s="88">
        <v>609781.82412719994</v>
      </c>
      <c r="V17" s="89">
        <f t="shared" si="0"/>
        <v>3.8782149530997483</v>
      </c>
      <c r="W17" s="89">
        <f t="shared" si="1"/>
        <v>462.83578743793009</v>
      </c>
      <c r="X17" s="89"/>
      <c r="Y17" s="88">
        <f t="shared" si="13"/>
        <v>1447.9748863884658</v>
      </c>
      <c r="Z17" s="48">
        <f t="shared" si="14"/>
        <v>373.36117360672341</v>
      </c>
      <c r="AA17" s="89">
        <f t="shared" si="15"/>
        <v>89.474613831206668</v>
      </c>
      <c r="AB17" s="75">
        <f t="shared" si="16"/>
        <v>0.19331827023684056</v>
      </c>
      <c r="AC17" s="49" t="s">
        <v>426</v>
      </c>
      <c r="AD17" s="89">
        <f t="shared" si="17"/>
        <v>462.83578743793009</v>
      </c>
      <c r="AE17" s="89">
        <f t="shared" si="18"/>
        <v>1794.9766716714771</v>
      </c>
    </row>
    <row r="18" spans="1:34">
      <c r="B18" s="197"/>
      <c r="C18" s="48"/>
      <c r="D18" s="48"/>
      <c r="E18" s="48"/>
      <c r="F18" s="48"/>
      <c r="G18" s="47"/>
      <c r="H18" s="47"/>
      <c r="I18" s="47"/>
      <c r="J18" s="47"/>
      <c r="K18" s="47"/>
      <c r="L18" s="47"/>
      <c r="M18" s="47"/>
      <c r="N18" s="47"/>
      <c r="O18" s="28"/>
      <c r="P18" s="28"/>
      <c r="Q18" s="28"/>
      <c r="R18" s="106"/>
      <c r="S18" s="247"/>
      <c r="T18" s="34"/>
      <c r="W18" s="51"/>
      <c r="X18" s="51"/>
      <c r="Y18" s="88"/>
      <c r="Z18" s="34"/>
      <c r="AA18" s="51"/>
      <c r="AB18" s="52"/>
    </row>
    <row r="19" spans="1:34">
      <c r="A19" s="32" t="s">
        <v>427</v>
      </c>
      <c r="B19" s="48">
        <f>SUM(B9:B17)</f>
        <v>4639.9957308074409</v>
      </c>
      <c r="C19" s="48">
        <f>SUM(C9:C17)</f>
        <v>300.00575710981195</v>
      </c>
      <c r="D19" s="48">
        <f>SUM(D9:D17)</f>
        <v>1191.4555443867389</v>
      </c>
      <c r="E19" s="48">
        <f t="shared" si="2"/>
        <v>6131.4570323039916</v>
      </c>
      <c r="F19" s="90">
        <f t="shared" si="3"/>
        <v>71.326758979362026</v>
      </c>
      <c r="G19" s="48">
        <f>SUM(G9:G17)</f>
        <v>1025.758836338593</v>
      </c>
      <c r="H19" s="91">
        <f t="shared" ref="H19" si="19">G19/D19</f>
        <v>0.86092917286860871</v>
      </c>
      <c r="I19" s="92">
        <f t="shared" ref="I19" si="20">100*G19/R19</f>
        <v>11.932572128452335</v>
      </c>
      <c r="J19" s="48">
        <f>SUM(J9:J17)</f>
        <v>855.68903465264395</v>
      </c>
      <c r="K19" s="48">
        <f>SUM(K9:K17)</f>
        <v>583.38787663900803</v>
      </c>
      <c r="L19" s="48">
        <f t="shared" si="6"/>
        <v>1439.0769112916519</v>
      </c>
      <c r="M19" s="196">
        <f t="shared" si="7"/>
        <v>6.7865054340723736</v>
      </c>
      <c r="N19" s="196">
        <f t="shared" si="8"/>
        <v>16.740668892185653</v>
      </c>
      <c r="O19" s="28">
        <f t="shared" si="9"/>
        <v>17113.780693052879</v>
      </c>
      <c r="P19" s="28">
        <f t="shared" si="10"/>
        <v>7991.6147484795629</v>
      </c>
      <c r="Q19" s="28">
        <f t="shared" si="11"/>
        <v>25105.395441532441</v>
      </c>
      <c r="R19" s="105">
        <f t="shared" si="12"/>
        <v>8596.292779934236</v>
      </c>
      <c r="S19" s="246"/>
      <c r="T19" s="33">
        <f>SUM(T9:T17)</f>
        <v>6940958.322819327</v>
      </c>
      <c r="U19" s="33">
        <f>SUM(U9:U17)</f>
        <v>33831532.069694698</v>
      </c>
      <c r="V19" s="51">
        <f>U19/T19</f>
        <v>4.8741874675243357</v>
      </c>
      <c r="W19" s="51">
        <f>1000000*R19/U19</f>
        <v>254.09114675106736</v>
      </c>
      <c r="X19" s="51"/>
      <c r="Y19" s="88">
        <f t="shared" si="13"/>
        <v>1031.156727322837</v>
      </c>
      <c r="Z19" s="34">
        <f t="shared" si="14"/>
        <v>211.55458918911364</v>
      </c>
      <c r="AA19" s="51">
        <f t="shared" si="15"/>
        <v>42.536557561953728</v>
      </c>
      <c r="AB19" s="52">
        <f t="shared" si="16"/>
        <v>0.16740668892185653</v>
      </c>
      <c r="AC19" s="32" t="s">
        <v>427</v>
      </c>
      <c r="AD19" s="51">
        <f t="shared" ref="AD19" si="21">1000000*R19/U19</f>
        <v>254.09114675106736</v>
      </c>
      <c r="AE19" s="51">
        <f t="shared" ref="AE19" si="22">1000000*R19/T19</f>
        <v>1238.4878831029393</v>
      </c>
    </row>
    <row r="20" spans="1:34" s="59" customFormat="1" ht="15">
      <c r="A20" s="3" t="s">
        <v>391</v>
      </c>
      <c r="B20" s="205"/>
      <c r="C20" s="205">
        <f>100*C19/$R19</f>
        <v>3.4899434534162888</v>
      </c>
      <c r="D20" s="205"/>
      <c r="E20" s="205">
        <f>100*E19/$R19</f>
        <v>71.326758979362026</v>
      </c>
      <c r="F20" s="207" t="s">
        <v>428</v>
      </c>
      <c r="G20" s="205">
        <f>100*G19/$R19</f>
        <v>11.932572128452335</v>
      </c>
      <c r="H20" s="209"/>
      <c r="I20" s="207" t="s">
        <v>428</v>
      </c>
      <c r="J20" s="205">
        <f>100*J19/$R19</f>
        <v>9.9541634581132801</v>
      </c>
      <c r="K20" s="205">
        <f>100*K19/$R19</f>
        <v>6.7865054340723736</v>
      </c>
      <c r="L20" s="205">
        <f>100*L19/$R19</f>
        <v>16.740668892185653</v>
      </c>
      <c r="M20" s="210"/>
      <c r="N20" s="196"/>
      <c r="O20" s="28">
        <f t="shared" si="9"/>
        <v>199.08326916226559</v>
      </c>
      <c r="P20" s="28">
        <f t="shared" si="10"/>
        <v>92.965827864005121</v>
      </c>
      <c r="Q20" s="28">
        <f t="shared" si="11"/>
        <v>292.04909702627072</v>
      </c>
      <c r="R20" s="107"/>
      <c r="S20" s="248"/>
      <c r="T20" s="93"/>
      <c r="Y20" s="94"/>
    </row>
    <row r="21" spans="1:34" s="98" customFormat="1" ht="15">
      <c r="A21" s="96" t="s">
        <v>123</v>
      </c>
      <c r="B21" s="199">
        <f>B11+B14+B15</f>
        <v>625.42925644389993</v>
      </c>
      <c r="C21" s="199">
        <f t="shared" ref="C21:G21" si="23">C11+C14+C15</f>
        <v>81.049267417909988</v>
      </c>
      <c r="D21" s="199">
        <f t="shared" si="23"/>
        <v>324.33843937777999</v>
      </c>
      <c r="E21" s="199">
        <f t="shared" si="23"/>
        <v>1030.81696323959</v>
      </c>
      <c r="F21" s="200">
        <f t="shared" si="3"/>
        <v>62.663387947874497</v>
      </c>
      <c r="G21" s="199">
        <f t="shared" si="23"/>
        <v>409.63723499024996</v>
      </c>
      <c r="H21" s="91">
        <f t="shared" ref="H21" si="24">G21/D21</f>
        <v>1.2629931739700961</v>
      </c>
      <c r="I21" s="92">
        <f t="shared" ref="I21" si="25">100*G21/R21</f>
        <v>24.901857351490278</v>
      </c>
      <c r="J21" s="199">
        <f t="shared" ref="J21:U21" si="26">J11+J14+J15</f>
        <v>121.7675725922</v>
      </c>
      <c r="K21" s="199">
        <f t="shared" si="26"/>
        <v>82.784981920180002</v>
      </c>
      <c r="L21" s="199">
        <f t="shared" si="26"/>
        <v>204.55255451238</v>
      </c>
      <c r="M21" s="196">
        <f t="shared" si="7"/>
        <v>5.0325010388059352</v>
      </c>
      <c r="N21" s="196">
        <f t="shared" si="8"/>
        <v>12.434754700635221</v>
      </c>
      <c r="O21" s="28">
        <f t="shared" si="9"/>
        <v>2435.3514518439997</v>
      </c>
      <c r="P21" s="28">
        <f t="shared" si="10"/>
        <v>1134.040848221644</v>
      </c>
      <c r="Q21" s="28">
        <f t="shared" si="11"/>
        <v>3569.3923000656437</v>
      </c>
      <c r="R21" s="241">
        <f t="shared" si="26"/>
        <v>1645.00675274222</v>
      </c>
      <c r="S21" s="159" t="s">
        <v>4</v>
      </c>
      <c r="T21" s="97">
        <f t="shared" si="26"/>
        <v>1549045.0332678983</v>
      </c>
      <c r="U21" s="97">
        <f t="shared" si="26"/>
        <v>8172763.678359</v>
      </c>
      <c r="V21" s="51">
        <f>U21/T21</f>
        <v>5.2760013445945884</v>
      </c>
      <c r="W21" s="51">
        <f>1000000*R21/U21</f>
        <v>201.27912876009145</v>
      </c>
      <c r="Y21" s="88">
        <f t="shared" ref="Y21" si="27">Z21*V21</f>
        <v>929.89820650405954</v>
      </c>
      <c r="Z21" s="34">
        <f t="shared" ref="Z21" si="28">W21-AA21</f>
        <v>176.25056283519837</v>
      </c>
      <c r="AA21" s="51">
        <f t="shared" ref="AA21" si="29">W21*L21/R21</f>
        <v>25.028565924893087</v>
      </c>
      <c r="AC21" s="96" t="s">
        <v>123</v>
      </c>
      <c r="AD21" s="51">
        <f t="shared" ref="AD21" si="30">1000000*R21/U21</f>
        <v>201.27912876009145</v>
      </c>
      <c r="AE21" s="51">
        <f t="shared" ref="AE21" si="31">1000000*R21/T21</f>
        <v>1061.9489539770698</v>
      </c>
    </row>
    <row r="22" spans="1:34" ht="15">
      <c r="B22" s="48"/>
      <c r="C22" s="48"/>
      <c r="D22" s="48"/>
      <c r="E22" s="48"/>
      <c r="F22" s="47"/>
      <c r="G22" s="48"/>
      <c r="H22" s="92"/>
      <c r="I22" s="49"/>
      <c r="J22" s="48"/>
      <c r="K22" s="48"/>
      <c r="L22" s="92"/>
      <c r="M22" s="92"/>
      <c r="N22" s="92"/>
      <c r="O22" s="34"/>
      <c r="P22" s="34"/>
      <c r="Q22" s="34"/>
      <c r="R22" s="175"/>
      <c r="S22" s="159" t="s">
        <v>5</v>
      </c>
      <c r="T22" s="57"/>
      <c r="W22" s="32">
        <f>100*W21/153.1</f>
        <v>131.46905862840723</v>
      </c>
      <c r="Y22" s="49"/>
    </row>
    <row r="23" spans="1:34" ht="18">
      <c r="B23" s="192" t="s">
        <v>429</v>
      </c>
      <c r="C23" s="201"/>
      <c r="D23" s="201"/>
      <c r="E23" s="201"/>
      <c r="F23" s="47"/>
      <c r="G23" s="48"/>
      <c r="H23" s="92"/>
      <c r="I23" s="92"/>
      <c r="J23" s="48"/>
      <c r="K23" s="48"/>
      <c r="L23" s="48"/>
      <c r="M23" s="48"/>
      <c r="N23" s="48"/>
      <c r="O23" s="34"/>
      <c r="P23" s="34"/>
      <c r="Q23" s="34"/>
      <c r="R23" s="109"/>
      <c r="S23" s="249"/>
      <c r="T23" s="57"/>
      <c r="Y23" s="49"/>
      <c r="AC23" s="35" t="s">
        <v>429</v>
      </c>
      <c r="AF23" s="26" t="s">
        <v>253</v>
      </c>
      <c r="AG23" s="26"/>
    </row>
    <row r="24" spans="1:34" ht="15">
      <c r="B24" s="202" t="s">
        <v>440</v>
      </c>
      <c r="C24" s="47"/>
      <c r="D24" s="47"/>
      <c r="E24" s="47"/>
      <c r="F24" s="47"/>
      <c r="G24" s="47" t="s">
        <v>430</v>
      </c>
      <c r="H24" s="90"/>
      <c r="I24" s="90"/>
      <c r="J24" s="47" t="s">
        <v>295</v>
      </c>
      <c r="K24" s="47" t="s">
        <v>296</v>
      </c>
      <c r="L24" s="203" t="s">
        <v>297</v>
      </c>
      <c r="M24" s="48"/>
      <c r="N24" s="48"/>
      <c r="O24" s="34"/>
      <c r="P24" s="34"/>
      <c r="Q24" s="34"/>
      <c r="R24" s="104" t="s">
        <v>169</v>
      </c>
      <c r="S24" s="203"/>
      <c r="T24" s="84" t="s">
        <v>170</v>
      </c>
      <c r="U24" s="56" t="s">
        <v>171</v>
      </c>
      <c r="V24" s="85" t="s">
        <v>172</v>
      </c>
      <c r="W24" s="85" t="s">
        <v>173</v>
      </c>
      <c r="X24" s="85"/>
      <c r="Y24" s="86"/>
      <c r="AD24" s="42" t="s">
        <v>27</v>
      </c>
      <c r="AE24" s="56"/>
      <c r="AF24" s="79" t="s">
        <v>27</v>
      </c>
      <c r="AG24" s="29"/>
    </row>
    <row r="25" spans="1:34" ht="15" customHeight="1">
      <c r="B25" s="47" t="s">
        <v>176</v>
      </c>
      <c r="C25" s="47" t="s">
        <v>177</v>
      </c>
      <c r="D25" s="47" t="s">
        <v>178</v>
      </c>
      <c r="E25" s="47" t="s">
        <v>179</v>
      </c>
      <c r="F25" s="47"/>
      <c r="G25" s="47" t="s">
        <v>181</v>
      </c>
      <c r="H25" s="90"/>
      <c r="I25" s="90"/>
      <c r="J25" s="47" t="s">
        <v>184</v>
      </c>
      <c r="K25" s="47" t="s">
        <v>184</v>
      </c>
      <c r="L25" s="203" t="s">
        <v>185</v>
      </c>
      <c r="M25" s="48"/>
      <c r="N25" s="48"/>
      <c r="O25" s="34"/>
      <c r="P25" s="34"/>
      <c r="Q25" s="34"/>
      <c r="R25" s="104" t="s">
        <v>186</v>
      </c>
      <c r="S25" s="203"/>
      <c r="T25" s="84" t="s">
        <v>187</v>
      </c>
      <c r="U25" s="54" t="s">
        <v>188</v>
      </c>
      <c r="V25" s="85" t="s">
        <v>189</v>
      </c>
      <c r="W25" s="85" t="s">
        <v>190</v>
      </c>
      <c r="X25" s="85"/>
      <c r="Y25" s="49"/>
      <c r="AD25" s="56" t="s">
        <v>272</v>
      </c>
      <c r="AE25" s="56" t="s">
        <v>273</v>
      </c>
      <c r="AF25" s="29" t="s">
        <v>272</v>
      </c>
      <c r="AG25" s="29" t="s">
        <v>273</v>
      </c>
    </row>
    <row r="26" spans="1:34" ht="15" customHeight="1">
      <c r="A26" s="32" t="s">
        <v>274</v>
      </c>
      <c r="B26" s="12">
        <v>3.8208428710939999</v>
      </c>
      <c r="C26" s="12">
        <v>0.18970736206049998</v>
      </c>
      <c r="D26" s="12">
        <v>0.138573604248</v>
      </c>
      <c r="E26" s="48">
        <f>B26+C26+D26</f>
        <v>4.1491238374024997</v>
      </c>
      <c r="F26" s="90">
        <f>100*E26/R26</f>
        <v>84.791876369260137</v>
      </c>
      <c r="G26" s="48">
        <v>0.13679729101560001</v>
      </c>
      <c r="H26" s="91">
        <f>G26/D26</f>
        <v>0.98718144597566371</v>
      </c>
      <c r="I26" s="92">
        <f>100*G26/R26</f>
        <v>2.795602021535716</v>
      </c>
      <c r="J26" s="48">
        <v>0.44548927511599995</v>
      </c>
      <c r="K26" s="48">
        <v>0.1618930767822</v>
      </c>
      <c r="L26" s="48">
        <f>J26+K26</f>
        <v>0.6073823518982</v>
      </c>
      <c r="M26" s="196">
        <f t="shared" si="7"/>
        <v>3.3084618077220784</v>
      </c>
      <c r="N26" s="196">
        <f t="shared" si="8"/>
        <v>12.412521609204163</v>
      </c>
      <c r="O26" s="28">
        <f t="shared" si="9"/>
        <v>8.9097855023199983</v>
      </c>
      <c r="P26" s="28">
        <f t="shared" si="10"/>
        <v>2.2177133805780822</v>
      </c>
      <c r="Q26" s="28">
        <f t="shared" si="11"/>
        <v>11.127498882898081</v>
      </c>
      <c r="R26" s="105">
        <f t="shared" ref="R26:R35" si="32">E26+G26+L26</f>
        <v>4.8933034803162991</v>
      </c>
      <c r="S26" s="246"/>
      <c r="T26" s="88">
        <v>6822.7899093630003</v>
      </c>
      <c r="U26" s="88">
        <v>24823.599662780001</v>
      </c>
      <c r="V26" s="51">
        <f t="shared" ref="V26:V35" si="33">U26/T26</f>
        <v>3.6383356357953018</v>
      </c>
      <c r="W26" s="51">
        <f t="shared" ref="W26:W35" si="34">1000000*R26/U26</f>
        <v>197.12304205635488</v>
      </c>
      <c r="X26" s="51"/>
      <c r="Y26" s="88">
        <f>Z26*V26</f>
        <v>628.17720981507512</v>
      </c>
      <c r="Z26" s="34">
        <f t="shared" ref="Z26:Z55" si="35">W26-AA26</f>
        <v>172.65510186438922</v>
      </c>
      <c r="AA26" s="51">
        <f t="shared" ref="AA26:AA55" si="36">W26*L26/R26</f>
        <v>24.46794019196566</v>
      </c>
      <c r="AB26" s="57">
        <f t="shared" ref="AB26:AB55" si="37">AA26/W26</f>
        <v>0.12412521609204163</v>
      </c>
      <c r="AC26" s="32" t="s">
        <v>274</v>
      </c>
      <c r="AD26" s="51">
        <f>1000000*R26/U26</f>
        <v>197.12304205635488</v>
      </c>
      <c r="AE26" s="51">
        <f>1000000*R26/T26</f>
        <v>717.19978855001193</v>
      </c>
      <c r="AF26" s="30">
        <f t="shared" ref="AF26:AF34" si="38">AD26/AD9</f>
        <v>0.6311367284228081</v>
      </c>
      <c r="AG26" s="30">
        <f t="shared" ref="AG26:AG34" si="39">AE26/AE9</f>
        <v>0.51553321156447662</v>
      </c>
    </row>
    <row r="27" spans="1:34" ht="15" customHeight="1">
      <c r="A27" s="32" t="s">
        <v>275</v>
      </c>
      <c r="B27" s="12">
        <v>16.761432376950001</v>
      </c>
      <c r="C27" s="12">
        <v>1.6998719833980001</v>
      </c>
      <c r="D27" s="12">
        <v>0.50123845654300003</v>
      </c>
      <c r="E27" s="48">
        <f t="shared" ref="E27:E37" si="40">B27+C27+D27</f>
        <v>18.962542816891002</v>
      </c>
      <c r="F27" s="90">
        <f t="shared" ref="F27:F35" si="41">100*E27/R27</f>
        <v>94.616839411951531</v>
      </c>
      <c r="G27" s="48">
        <v>0.32254319531249998</v>
      </c>
      <c r="H27" s="91">
        <f t="shared" ref="H27:H35" si="42">G27/D27</f>
        <v>0.64349251559238607</v>
      </c>
      <c r="I27" s="92">
        <f t="shared" ref="I27:I35" si="43">100*G27/R27</f>
        <v>1.6093842481461091</v>
      </c>
      <c r="J27" s="48">
        <v>0.54490161054989994</v>
      </c>
      <c r="K27" s="48">
        <v>0.2114161429443</v>
      </c>
      <c r="L27" s="48">
        <f t="shared" ref="L27:L37" si="44">J27+K27</f>
        <v>0.75631775349419994</v>
      </c>
      <c r="M27" s="196">
        <f t="shared" si="7"/>
        <v>1.0548968795596736</v>
      </c>
      <c r="N27" s="196">
        <f t="shared" si="8"/>
        <v>3.7737763399023576</v>
      </c>
      <c r="O27" s="28">
        <f t="shared" si="9"/>
        <v>10.898032210997998</v>
      </c>
      <c r="P27" s="28">
        <f t="shared" si="10"/>
        <v>2.8961115471821919</v>
      </c>
      <c r="Q27" s="28">
        <f t="shared" si="11"/>
        <v>13.794143758180191</v>
      </c>
      <c r="R27" s="105">
        <f t="shared" si="32"/>
        <v>20.041403765697702</v>
      </c>
      <c r="S27" s="246"/>
      <c r="T27" s="88">
        <v>36326.920188900003</v>
      </c>
      <c r="U27" s="88">
        <v>146963.86082460001</v>
      </c>
      <c r="V27" s="51">
        <f t="shared" si="33"/>
        <v>4.0455909848780971</v>
      </c>
      <c r="W27" s="51">
        <f t="shared" si="34"/>
        <v>136.36960578775847</v>
      </c>
      <c r="X27" s="51"/>
      <c r="Y27" s="88">
        <f t="shared" ref="Y27:Y37" si="45">Z27*V27</f>
        <v>530.87588796190391</v>
      </c>
      <c r="Z27" s="34">
        <f t="shared" si="35"/>
        <v>131.22332186972193</v>
      </c>
      <c r="AA27" s="51">
        <f t="shared" si="36"/>
        <v>5.1462839180365449</v>
      </c>
      <c r="AB27" s="57">
        <f t="shared" si="37"/>
        <v>3.7737763399023572E-2</v>
      </c>
      <c r="AC27" s="32" t="s">
        <v>275</v>
      </c>
      <c r="AD27" s="51">
        <f t="shared" ref="AD27:AD37" si="46">1000000*R27/U27</f>
        <v>136.36960578775847</v>
      </c>
      <c r="AE27" s="51">
        <f t="shared" ref="AE27:AE37" si="47">1000000*R27/T27</f>
        <v>551.69564778633571</v>
      </c>
      <c r="AF27" s="30">
        <f t="shared" si="38"/>
        <v>0.44440363786382825</v>
      </c>
      <c r="AG27" s="30">
        <f t="shared" si="39"/>
        <v>0.3837081941350669</v>
      </c>
    </row>
    <row r="28" spans="1:34" ht="15" customHeight="1">
      <c r="A28" s="32" t="s">
        <v>276</v>
      </c>
      <c r="B28" s="138">
        <v>63.627307608829994</v>
      </c>
      <c r="C28" s="138">
        <v>46.898045266600001</v>
      </c>
      <c r="D28" s="138">
        <v>18.644212542849999</v>
      </c>
      <c r="E28" s="48">
        <f t="shared" si="40"/>
        <v>129.16956541828</v>
      </c>
      <c r="F28" s="90">
        <f t="shared" si="41"/>
        <v>89.950910457928344</v>
      </c>
      <c r="G28" s="89">
        <v>12.587181053969999</v>
      </c>
      <c r="H28" s="91">
        <f t="shared" si="42"/>
        <v>0.67512537872226452</v>
      </c>
      <c r="I28" s="92">
        <f t="shared" si="43"/>
        <v>8.7654424804866231</v>
      </c>
      <c r="J28" s="89">
        <v>0.91576177920909996</v>
      </c>
      <c r="K28" s="89">
        <v>0.92755622892759992</v>
      </c>
      <c r="L28" s="48">
        <f t="shared" si="44"/>
        <v>1.8433180081366998</v>
      </c>
      <c r="M28" s="196">
        <f t="shared" si="7"/>
        <v>0.64593023149671924</v>
      </c>
      <c r="N28" s="196">
        <f t="shared" si="8"/>
        <v>1.2836470615850353</v>
      </c>
      <c r="O28" s="28">
        <f t="shared" si="9"/>
        <v>18.315235584181998</v>
      </c>
      <c r="P28" s="28">
        <f t="shared" si="10"/>
        <v>12.706249711336985</v>
      </c>
      <c r="Q28" s="28">
        <f t="shared" si="11"/>
        <v>31.021485295518985</v>
      </c>
      <c r="R28" s="105">
        <f t="shared" si="32"/>
        <v>143.60006448038669</v>
      </c>
      <c r="S28" s="246"/>
      <c r="T28" s="88">
        <v>427671.4413605</v>
      </c>
      <c r="U28" s="88">
        <v>2035298.4763489999</v>
      </c>
      <c r="V28" s="51">
        <f t="shared" si="33"/>
        <v>4.7590235856627423</v>
      </c>
      <c r="W28" s="51">
        <f t="shared" si="34"/>
        <v>70.554793878675852</v>
      </c>
      <c r="X28" s="51"/>
      <c r="Y28" s="88">
        <f t="shared" si="45"/>
        <v>331.4618016608643</v>
      </c>
      <c r="Z28" s="34">
        <f t="shared" si="35"/>
        <v>69.649119340244852</v>
      </c>
      <c r="AA28" s="51">
        <f t="shared" si="36"/>
        <v>0.90567453843100088</v>
      </c>
      <c r="AB28" s="57">
        <f t="shared" si="37"/>
        <v>1.2836470615850352E-2</v>
      </c>
      <c r="AC28" s="113" t="s">
        <v>276</v>
      </c>
      <c r="AD28" s="51">
        <f t="shared" si="46"/>
        <v>70.554793878675852</v>
      </c>
      <c r="AE28" s="51">
        <f t="shared" si="47"/>
        <v>335.77192815019163</v>
      </c>
      <c r="AF28" s="30">
        <f t="shared" si="38"/>
        <v>0.38689561043084786</v>
      </c>
      <c r="AG28" s="30">
        <f t="shared" si="39"/>
        <v>0.35281434669721068</v>
      </c>
    </row>
    <row r="29" spans="1:34" ht="15" customHeight="1">
      <c r="A29" s="49" t="s">
        <v>277</v>
      </c>
      <c r="B29" s="138">
        <v>11.38205460809</v>
      </c>
      <c r="C29" s="138">
        <v>1.3824842200929999</v>
      </c>
      <c r="D29" s="138">
        <v>1.738687182312</v>
      </c>
      <c r="E29" s="48">
        <f t="shared" si="40"/>
        <v>14.503226010495</v>
      </c>
      <c r="F29" s="90">
        <f t="shared" si="41"/>
        <v>88.987440983892881</v>
      </c>
      <c r="G29" s="89">
        <v>0.98009140820309992</v>
      </c>
      <c r="H29" s="91">
        <f t="shared" si="42"/>
        <v>0.56369622907085226</v>
      </c>
      <c r="I29" s="92">
        <f t="shared" si="43"/>
        <v>6.0135466608037174</v>
      </c>
      <c r="J29" s="89">
        <v>0.50333480657959995</v>
      </c>
      <c r="K29" s="89">
        <v>0.31140719764710001</v>
      </c>
      <c r="L29" s="48">
        <f t="shared" si="44"/>
        <v>0.81474200422669996</v>
      </c>
      <c r="M29" s="196">
        <f t="shared" si="7"/>
        <v>1.9107010814371899</v>
      </c>
      <c r="N29" s="196">
        <f t="shared" si="8"/>
        <v>4.9990123553033943</v>
      </c>
      <c r="O29" s="28">
        <f t="shared" si="9"/>
        <v>10.066696131591998</v>
      </c>
      <c r="P29" s="28">
        <f t="shared" si="10"/>
        <v>4.2658520225630143</v>
      </c>
      <c r="Q29" s="28">
        <f t="shared" si="11"/>
        <v>14.332548154155013</v>
      </c>
      <c r="R29" s="105">
        <f t="shared" si="32"/>
        <v>16.298059422924801</v>
      </c>
      <c r="S29" s="246"/>
      <c r="T29" s="88">
        <v>29575.579994200001</v>
      </c>
      <c r="U29" s="88">
        <v>128646.7101059</v>
      </c>
      <c r="V29" s="51">
        <f t="shared" si="33"/>
        <v>4.3497611925490087</v>
      </c>
      <c r="W29" s="51">
        <f t="shared" si="34"/>
        <v>126.68850536098816</v>
      </c>
      <c r="X29" s="51"/>
      <c r="Y29" s="88">
        <f t="shared" si="45"/>
        <v>523.51694951492073</v>
      </c>
      <c r="Z29" s="34">
        <f t="shared" si="35"/>
        <v>120.35533132524316</v>
      </c>
      <c r="AA29" s="51">
        <f t="shared" si="36"/>
        <v>6.3331740357450013</v>
      </c>
      <c r="AB29" s="57">
        <f t="shared" si="37"/>
        <v>4.9990123553033942E-2</v>
      </c>
      <c r="AC29" s="49" t="s">
        <v>277</v>
      </c>
      <c r="AD29" s="51">
        <f t="shared" si="46"/>
        <v>126.68850536098816</v>
      </c>
      <c r="AE29" s="51">
        <f t="shared" si="47"/>
        <v>551.06474416126332</v>
      </c>
      <c r="AF29" s="30">
        <f t="shared" si="38"/>
        <v>0.56827646089273764</v>
      </c>
      <c r="AG29" s="30">
        <f t="shared" si="39"/>
        <v>0.49622475796989107</v>
      </c>
    </row>
    <row r="30" spans="1:34" ht="15" customHeight="1">
      <c r="A30" s="53" t="s">
        <v>278</v>
      </c>
      <c r="B30" s="12">
        <v>8.9643964228519994</v>
      </c>
      <c r="C30" s="12">
        <v>1.0234065644529999</v>
      </c>
      <c r="D30" s="12">
        <v>2.1866175535279999</v>
      </c>
      <c r="E30" s="48">
        <f t="shared" si="40"/>
        <v>12.174420540832999</v>
      </c>
      <c r="F30" s="90">
        <f t="shared" si="41"/>
        <v>85.271361796568314</v>
      </c>
      <c r="G30" s="48">
        <v>0.77766044921879995</v>
      </c>
      <c r="H30" s="91">
        <f t="shared" si="42"/>
        <v>0.35564538845125571</v>
      </c>
      <c r="I30" s="92">
        <f t="shared" si="43"/>
        <v>5.446843675048612</v>
      </c>
      <c r="J30" s="48">
        <v>0.99659100082399998</v>
      </c>
      <c r="K30" s="48">
        <v>0.32859564544679998</v>
      </c>
      <c r="L30" s="48">
        <f t="shared" si="44"/>
        <v>1.3251866462708</v>
      </c>
      <c r="M30" s="196">
        <f t="shared" si="7"/>
        <v>2.3015303335130062</v>
      </c>
      <c r="N30" s="196">
        <f t="shared" si="8"/>
        <v>9.2817945283830863</v>
      </c>
      <c r="O30" s="28">
        <f t="shared" si="9"/>
        <v>19.93182001648</v>
      </c>
      <c r="P30" s="28">
        <f t="shared" si="10"/>
        <v>4.5013102115999999</v>
      </c>
      <c r="Q30" s="28">
        <f t="shared" si="11"/>
        <v>24.43313022808</v>
      </c>
      <c r="R30" s="105">
        <f t="shared" si="32"/>
        <v>14.277267636322598</v>
      </c>
      <c r="S30" s="246"/>
      <c r="T30" s="88">
        <v>26299.89000702</v>
      </c>
      <c r="U30" s="88">
        <v>126298.43029020001</v>
      </c>
      <c r="V30" s="51">
        <f t="shared" si="33"/>
        <v>4.8022417681780523</v>
      </c>
      <c r="W30" s="51">
        <f t="shared" si="34"/>
        <v>113.04390405737631</v>
      </c>
      <c r="X30" s="51"/>
      <c r="Y30" s="88">
        <f t="shared" si="45"/>
        <v>492.476622016085</v>
      </c>
      <c r="Z30" s="34">
        <f t="shared" si="35"/>
        <v>102.55140115590812</v>
      </c>
      <c r="AA30" s="51">
        <f t="shared" si="36"/>
        <v>10.49250290146818</v>
      </c>
      <c r="AB30" s="57">
        <f t="shared" si="37"/>
        <v>9.2817945283830861E-2</v>
      </c>
      <c r="AC30" s="53" t="s">
        <v>278</v>
      </c>
      <c r="AD30" s="51">
        <f t="shared" si="46"/>
        <v>113.04390405737631</v>
      </c>
      <c r="AE30" s="51">
        <f t="shared" si="47"/>
        <v>542.86415770224482</v>
      </c>
      <c r="AF30" s="30">
        <f t="shared" si="38"/>
        <v>0.48723953055009472</v>
      </c>
      <c r="AG30" s="30">
        <f t="shared" si="39"/>
        <v>0.46552800999991512</v>
      </c>
      <c r="AH30" s="32" t="s">
        <v>25</v>
      </c>
    </row>
    <row r="31" spans="1:34" ht="15" customHeight="1">
      <c r="A31" s="32" t="s">
        <v>423</v>
      </c>
      <c r="B31" s="12">
        <v>43.19502744647</v>
      </c>
      <c r="C31" s="12">
        <v>53.067722331299997</v>
      </c>
      <c r="D31" s="12">
        <v>24.255644434999997</v>
      </c>
      <c r="E31" s="48">
        <f t="shared" si="40"/>
        <v>120.51839421276999</v>
      </c>
      <c r="F31" s="90">
        <f t="shared" si="41"/>
        <v>86.931389667988526</v>
      </c>
      <c r="G31" s="48">
        <v>16.143424378420001</v>
      </c>
      <c r="H31" s="91">
        <f t="shared" si="42"/>
        <v>0.66555330746544239</v>
      </c>
      <c r="I31" s="92">
        <f t="shared" si="43"/>
        <v>11.644449167971363</v>
      </c>
      <c r="J31" s="48">
        <v>0.65631824549869999</v>
      </c>
      <c r="K31" s="48">
        <v>1.3180849849779999</v>
      </c>
      <c r="L31" s="48">
        <f t="shared" si="44"/>
        <v>1.9744032304766999</v>
      </c>
      <c r="M31" s="196">
        <f t="shared" si="7"/>
        <v>0.95075079777744176</v>
      </c>
      <c r="N31" s="196">
        <f t="shared" si="8"/>
        <v>1.4241611640401264</v>
      </c>
      <c r="O31" s="28">
        <f t="shared" si="9"/>
        <v>13.126364909973999</v>
      </c>
      <c r="P31" s="28">
        <f t="shared" si="10"/>
        <v>18.055958698328766</v>
      </c>
      <c r="Q31" s="28">
        <f t="shared" si="11"/>
        <v>31.182323608302767</v>
      </c>
      <c r="R31" s="105">
        <f t="shared" si="32"/>
        <v>138.63622182166668</v>
      </c>
      <c r="S31" s="246"/>
      <c r="T31" s="88">
        <v>288591.13999999885</v>
      </c>
      <c r="U31" s="88">
        <v>1363123.425392</v>
      </c>
      <c r="V31" s="51">
        <f t="shared" si="33"/>
        <v>4.7233723994160233</v>
      </c>
      <c r="W31" s="51">
        <f t="shared" si="34"/>
        <v>101.70481941633304</v>
      </c>
      <c r="X31" s="51"/>
      <c r="Y31" s="88">
        <f t="shared" si="45"/>
        <v>473.54821284946769</v>
      </c>
      <c r="Z31" s="34">
        <f t="shared" si="35"/>
        <v>100.25637887624848</v>
      </c>
      <c r="AA31" s="51">
        <f t="shared" si="36"/>
        <v>1.448440540084557</v>
      </c>
      <c r="AB31" s="57">
        <f t="shared" si="37"/>
        <v>1.4241611640401263E-2</v>
      </c>
      <c r="AC31" s="113" t="s">
        <v>423</v>
      </c>
      <c r="AD31" s="51">
        <f t="shared" si="46"/>
        <v>101.70481941633304</v>
      </c>
      <c r="AE31" s="51">
        <f t="shared" si="47"/>
        <v>480.38973691869836</v>
      </c>
      <c r="AF31" s="30">
        <f t="shared" si="38"/>
        <v>0.48795756879885072</v>
      </c>
      <c r="AG31" s="30">
        <f t="shared" si="39"/>
        <v>0.42587236057719685</v>
      </c>
    </row>
    <row r="32" spans="1:34" ht="15" customHeight="1">
      <c r="A32" s="32" t="s">
        <v>424</v>
      </c>
      <c r="B32" s="138">
        <v>33.809118251340003</v>
      </c>
      <c r="C32" s="138">
        <v>20.093180644170001</v>
      </c>
      <c r="D32" s="138">
        <v>19.00915827008</v>
      </c>
      <c r="E32" s="48">
        <f t="shared" si="40"/>
        <v>72.911457165590008</v>
      </c>
      <c r="F32" s="90">
        <f t="shared" si="41"/>
        <v>83.455964619412853</v>
      </c>
      <c r="G32" s="89">
        <v>13.53498939502</v>
      </c>
      <c r="H32" s="91">
        <f t="shared" si="42"/>
        <v>0.71202465688992544</v>
      </c>
      <c r="I32" s="92">
        <f t="shared" si="43"/>
        <v>15.492429310657251</v>
      </c>
      <c r="J32" s="89">
        <v>0.30915701971050003</v>
      </c>
      <c r="K32" s="89">
        <v>0.60958055971149994</v>
      </c>
      <c r="L32" s="48">
        <f t="shared" si="44"/>
        <v>0.91873757942199996</v>
      </c>
      <c r="M32" s="196">
        <f t="shared" si="7"/>
        <v>0.69773853934130403</v>
      </c>
      <c r="N32" s="196">
        <f t="shared" si="8"/>
        <v>1.0516060699298875</v>
      </c>
      <c r="O32" s="28">
        <f t="shared" si="9"/>
        <v>6.1831403942100005</v>
      </c>
      <c r="P32" s="28">
        <f t="shared" si="10"/>
        <v>8.3504186261849309</v>
      </c>
      <c r="Q32" s="28">
        <f t="shared" si="11"/>
        <v>14.533559020394932</v>
      </c>
      <c r="R32" s="105">
        <f t="shared" si="32"/>
        <v>87.365184140032014</v>
      </c>
      <c r="S32" s="246"/>
      <c r="T32" s="88">
        <v>154861.05030060001</v>
      </c>
      <c r="U32" s="88">
        <v>685571.22261049994</v>
      </c>
      <c r="V32" s="51">
        <f t="shared" si="33"/>
        <v>4.4270087364107447</v>
      </c>
      <c r="W32" s="51">
        <f t="shared" si="34"/>
        <v>127.43414726097338</v>
      </c>
      <c r="X32" s="51"/>
      <c r="Y32" s="88">
        <f t="shared" si="45"/>
        <v>558.21942569038015</v>
      </c>
      <c r="Z32" s="34">
        <f t="shared" si="35"/>
        <v>126.09404203321358</v>
      </c>
      <c r="AA32" s="51">
        <f t="shared" si="36"/>
        <v>1.3401052277597874</v>
      </c>
      <c r="AB32" s="57">
        <f t="shared" si="37"/>
        <v>1.0516060699298875E-2</v>
      </c>
      <c r="AC32" s="113" t="s">
        <v>424</v>
      </c>
      <c r="AD32" s="51">
        <f t="shared" si="46"/>
        <v>127.43414726097338</v>
      </c>
      <c r="AE32" s="51">
        <f t="shared" si="47"/>
        <v>564.15208324138246</v>
      </c>
      <c r="AF32" s="30">
        <f t="shared" si="38"/>
        <v>0.53359407977251205</v>
      </c>
      <c r="AG32" s="30">
        <f t="shared" si="39"/>
        <v>0.45928110964937235</v>
      </c>
    </row>
    <row r="33" spans="1:34" s="49" customFormat="1" ht="15" customHeight="1">
      <c r="A33" s="49" t="s">
        <v>425</v>
      </c>
      <c r="B33" s="138">
        <v>5.2551259218749999</v>
      </c>
      <c r="C33" s="138">
        <v>4.1272824218749997E-2</v>
      </c>
      <c r="D33" s="138">
        <v>3.3575305358890001E-2</v>
      </c>
      <c r="E33" s="48">
        <f t="shared" si="40"/>
        <v>5.3299740514526404</v>
      </c>
      <c r="F33" s="90">
        <f t="shared" si="41"/>
        <v>99.364577154470652</v>
      </c>
      <c r="G33" s="48">
        <v>1.1477032226560002E-2</v>
      </c>
      <c r="H33" s="91">
        <f t="shared" si="42"/>
        <v>0.34182957098619915</v>
      </c>
      <c r="I33" s="92">
        <f t="shared" si="43"/>
        <v>0.21396172723759474</v>
      </c>
      <c r="J33" s="89">
        <v>6.5152999877929997E-3</v>
      </c>
      <c r="K33" s="89">
        <v>1.6092120971680002E-2</v>
      </c>
      <c r="L33" s="48">
        <f t="shared" si="44"/>
        <v>2.2607420959473001E-2</v>
      </c>
      <c r="M33" s="196">
        <f t="shared" si="7"/>
        <v>0.29999898319088109</v>
      </c>
      <c r="N33" s="196">
        <f t="shared" si="8"/>
        <v>0.42146111829173361</v>
      </c>
      <c r="O33" s="28">
        <f t="shared" si="9"/>
        <v>0.13030599975585999</v>
      </c>
      <c r="P33" s="28">
        <f t="shared" si="10"/>
        <v>0.22044001331068497</v>
      </c>
      <c r="Q33" s="28">
        <f t="shared" si="11"/>
        <v>0.35074601306654496</v>
      </c>
      <c r="R33" s="105">
        <f t="shared" si="32"/>
        <v>5.364058504638674</v>
      </c>
      <c r="S33" s="246"/>
      <c r="T33" s="88">
        <v>3547.3200378420001</v>
      </c>
      <c r="U33" s="88">
        <v>10552.560241699999</v>
      </c>
      <c r="V33" s="89">
        <f t="shared" si="33"/>
        <v>2.9747979119807901</v>
      </c>
      <c r="W33" s="89">
        <f t="shared" si="34"/>
        <v>508.31820731444913</v>
      </c>
      <c r="X33" s="89"/>
      <c r="Y33" s="88">
        <f t="shared" si="45"/>
        <v>1505.7708429738</v>
      </c>
      <c r="Z33" s="48">
        <f t="shared" si="35"/>
        <v>506.17584371342116</v>
      </c>
      <c r="AA33" s="89">
        <f t="shared" si="36"/>
        <v>2.1423636010279701</v>
      </c>
      <c r="AB33" s="50">
        <f t="shared" si="37"/>
        <v>4.2146111829173358E-3</v>
      </c>
      <c r="AC33" s="49" t="s">
        <v>425</v>
      </c>
      <c r="AD33" s="89">
        <f t="shared" si="46"/>
        <v>508.31820731444913</v>
      </c>
      <c r="AE33" s="89">
        <f t="shared" si="47"/>
        <v>1512.1439417408417</v>
      </c>
      <c r="AF33" s="78">
        <f t="shared" si="38"/>
        <v>1.7815426108433063</v>
      </c>
      <c r="AG33" s="78">
        <f t="shared" si="39"/>
        <v>1.4473785694212975</v>
      </c>
    </row>
    <row r="34" spans="1:34" s="49" customFormat="1" ht="15" customHeight="1">
      <c r="A34" s="49" t="s">
        <v>426</v>
      </c>
      <c r="B34" s="12">
        <v>28.784179373050002</v>
      </c>
      <c r="C34" s="12">
        <v>0.85192083984379996</v>
      </c>
      <c r="D34" s="12">
        <v>0.29659679675290002</v>
      </c>
      <c r="E34" s="48">
        <f t="shared" si="40"/>
        <v>29.932697009646702</v>
      </c>
      <c r="F34" s="90">
        <f t="shared" si="41"/>
        <v>98.801187876439883</v>
      </c>
      <c r="G34" s="48">
        <v>8.3857052734380003E-2</v>
      </c>
      <c r="H34" s="91">
        <f t="shared" si="42"/>
        <v>0.28273081048897092</v>
      </c>
      <c r="I34" s="92">
        <f t="shared" si="43"/>
        <v>0.2767935151083733</v>
      </c>
      <c r="J34" s="48">
        <v>6.4568525192260001E-2</v>
      </c>
      <c r="K34" s="48">
        <v>0.21476519778439998</v>
      </c>
      <c r="L34" s="48">
        <f t="shared" si="44"/>
        <v>0.27933372297665998</v>
      </c>
      <c r="M34" s="196">
        <f t="shared" si="7"/>
        <v>0.70889224077532331</v>
      </c>
      <c r="N34" s="196">
        <f t="shared" si="8"/>
        <v>0.92201860845175265</v>
      </c>
      <c r="O34" s="28">
        <f t="shared" si="9"/>
        <v>1.2913705038451999</v>
      </c>
      <c r="P34" s="28">
        <f t="shared" si="10"/>
        <v>2.9419890107452056</v>
      </c>
      <c r="Q34" s="28">
        <f t="shared" si="11"/>
        <v>4.2333595145904059</v>
      </c>
      <c r="R34" s="105">
        <f t="shared" si="32"/>
        <v>30.295887785357742</v>
      </c>
      <c r="S34" s="246"/>
      <c r="T34" s="88">
        <v>16681.790176390001</v>
      </c>
      <c r="U34" s="88">
        <v>55161.050598139998</v>
      </c>
      <c r="V34" s="89">
        <f t="shared" si="33"/>
        <v>3.3066625353081287</v>
      </c>
      <c r="W34" s="89">
        <f t="shared" si="34"/>
        <v>549.22608356519061</v>
      </c>
      <c r="X34" s="89"/>
      <c r="Y34" s="88">
        <f t="shared" si="45"/>
        <v>1799.3604849954286</v>
      </c>
      <c r="Z34" s="48">
        <f t="shared" si="35"/>
        <v>544.16211687224882</v>
      </c>
      <c r="AA34" s="89">
        <f t="shared" si="36"/>
        <v>5.0639666929418308</v>
      </c>
      <c r="AB34" s="50">
        <f t="shared" si="37"/>
        <v>9.2201860845175267E-3</v>
      </c>
      <c r="AC34" s="49" t="s">
        <v>426</v>
      </c>
      <c r="AD34" s="89">
        <f t="shared" si="46"/>
        <v>549.22608356519061</v>
      </c>
      <c r="AE34" s="89">
        <f t="shared" si="47"/>
        <v>1816.1053139390272</v>
      </c>
      <c r="AF34" s="78">
        <f t="shared" si="38"/>
        <v>1.186654313413148</v>
      </c>
      <c r="AG34" s="78">
        <f t="shared" si="39"/>
        <v>1.0117709843258715</v>
      </c>
    </row>
    <row r="35" spans="1:34" s="49" customFormat="1" ht="15" customHeight="1">
      <c r="A35" s="49" t="s">
        <v>24</v>
      </c>
      <c r="B35" s="12">
        <v>6.7380147187499997</v>
      </c>
      <c r="C35" s="12">
        <v>0.78430092675780005</v>
      </c>
      <c r="D35" s="12">
        <v>1.517301281982</v>
      </c>
      <c r="E35" s="48">
        <f t="shared" si="40"/>
        <v>9.0396169274897993</v>
      </c>
      <c r="F35" s="90">
        <f t="shared" si="41"/>
        <v>84.937081196387823</v>
      </c>
      <c r="G35" s="48">
        <v>0.44812853125000002</v>
      </c>
      <c r="H35" s="91">
        <f t="shared" si="42"/>
        <v>0.29534578041391008</v>
      </c>
      <c r="I35" s="92">
        <f t="shared" si="43"/>
        <v>4.2106573487034771</v>
      </c>
      <c r="J35" s="48">
        <v>0.89064782614140003</v>
      </c>
      <c r="K35" s="48">
        <v>0.2643281274414</v>
      </c>
      <c r="L35" s="48">
        <f t="shared" si="44"/>
        <v>1.1549759535828001</v>
      </c>
      <c r="M35" s="196">
        <f t="shared" si="7"/>
        <v>2.4836516639000772</v>
      </c>
      <c r="N35" s="196">
        <f t="shared" si="8"/>
        <v>10.852261454908698</v>
      </c>
      <c r="O35" s="28">
        <f t="shared" si="9"/>
        <v>17.812956522827999</v>
      </c>
      <c r="P35" s="28">
        <f t="shared" si="10"/>
        <v>3.620933252621918</v>
      </c>
      <c r="Q35" s="28">
        <f t="shared" si="11"/>
        <v>21.433889775449916</v>
      </c>
      <c r="R35" s="105">
        <f t="shared" si="32"/>
        <v>10.642721412322599</v>
      </c>
      <c r="S35" s="246"/>
      <c r="T35" s="88">
        <v>19734.839950559999</v>
      </c>
      <c r="U35" s="88">
        <v>98246.480186460001</v>
      </c>
      <c r="V35" s="89">
        <f t="shared" si="33"/>
        <v>4.9783266767092345</v>
      </c>
      <c r="W35" s="89">
        <f t="shared" si="34"/>
        <v>108.32674506123776</v>
      </c>
      <c r="X35" s="89"/>
      <c r="Y35" s="88">
        <f t="shared" si="45"/>
        <v>480.76120619719399</v>
      </c>
      <c r="Z35" s="48">
        <f t="shared" si="35"/>
        <v>96.570843461599836</v>
      </c>
      <c r="AA35" s="89">
        <f t="shared" si="36"/>
        <v>11.755901599637918</v>
      </c>
      <c r="AB35" s="50">
        <f t="shared" si="37"/>
        <v>0.10852261454908699</v>
      </c>
      <c r="AC35" s="49" t="s">
        <v>24</v>
      </c>
      <c r="AD35" s="89">
        <f t="shared" si="46"/>
        <v>108.32674506123776</v>
      </c>
      <c r="AE35" s="89">
        <f t="shared" si="47"/>
        <v>539.28592473944025</v>
      </c>
      <c r="AF35" s="78"/>
      <c r="AG35" s="78"/>
      <c r="AH35" s="49" t="s">
        <v>26</v>
      </c>
    </row>
    <row r="36" spans="1:34" ht="15" customHeight="1">
      <c r="B36" s="48"/>
      <c r="C36" s="48"/>
      <c r="D36" s="48"/>
      <c r="E36" s="48"/>
      <c r="F36" s="48"/>
      <c r="G36" s="48"/>
      <c r="H36" s="92"/>
      <c r="I36" s="92"/>
      <c r="J36" s="48"/>
      <c r="K36" s="48"/>
      <c r="L36" s="48"/>
      <c r="M36" s="196"/>
      <c r="N36" s="196"/>
      <c r="O36" s="28"/>
      <c r="P36" s="28"/>
      <c r="Q36" s="28"/>
      <c r="R36" s="105"/>
      <c r="S36" s="246"/>
      <c r="T36" s="57"/>
      <c r="W36" s="51"/>
      <c r="X36" s="51"/>
      <c r="Y36" s="88"/>
      <c r="AB36" s="57"/>
      <c r="AD36" s="51"/>
      <c r="AE36" s="51"/>
      <c r="AF36" s="30"/>
      <c r="AG36" s="30"/>
    </row>
    <row r="37" spans="1:34" ht="15" customHeight="1">
      <c r="A37" s="32" t="s">
        <v>431</v>
      </c>
      <c r="B37" s="48">
        <f>SUM(B26:B34)</f>
        <v>215.59948488055099</v>
      </c>
      <c r="C37" s="48">
        <f>SUM(C26:C34)</f>
        <v>125.24761203613706</v>
      </c>
      <c r="D37" s="48">
        <f>SUM(D26:D34)</f>
        <v>66.804304146672791</v>
      </c>
      <c r="E37" s="48">
        <f t="shared" si="40"/>
        <v>407.65140106336082</v>
      </c>
      <c r="F37" s="90">
        <f t="shared" ref="F37" si="48">100*E37/R37</f>
        <v>88.471497126310183</v>
      </c>
      <c r="G37" s="48">
        <f>SUM(G26:G34)</f>
        <v>44.578021256120941</v>
      </c>
      <c r="H37" s="91">
        <f t="shared" ref="H37" si="49">G37/D37</f>
        <v>0.6672926516568044</v>
      </c>
      <c r="I37" s="92">
        <f t="shared" ref="I37" si="50">100*G37/R37</f>
        <v>9.6746491467215741</v>
      </c>
      <c r="J37" s="48">
        <f>SUM(J26:J34)</f>
        <v>4.4426375626678523</v>
      </c>
      <c r="K37" s="48">
        <f>SUM(K26:K34)</f>
        <v>4.0993911551935804</v>
      </c>
      <c r="L37" s="48">
        <f t="shared" si="44"/>
        <v>8.5420287178614327</v>
      </c>
      <c r="M37" s="196">
        <f t="shared" si="7"/>
        <v>0.88967993697624848</v>
      </c>
      <c r="N37" s="196">
        <f t="shared" si="8"/>
        <v>1.8538537269682416</v>
      </c>
      <c r="O37" s="28">
        <f t="shared" si="9"/>
        <v>88.852751253357042</v>
      </c>
      <c r="P37" s="28">
        <f t="shared" si="10"/>
        <v>56.156043221829876</v>
      </c>
      <c r="Q37" s="28">
        <f t="shared" si="11"/>
        <v>145.0087944751869</v>
      </c>
      <c r="R37" s="105">
        <f>SUM(R26:R34)</f>
        <v>460.77145103734318</v>
      </c>
      <c r="S37" s="246"/>
      <c r="T37" s="33">
        <f>SUM(T26:T34)</f>
        <v>990377.9219748138</v>
      </c>
      <c r="U37" s="33">
        <f>SUM(U26:U34)</f>
        <v>4576439.3360748198</v>
      </c>
      <c r="V37" s="51">
        <f>U37/T37</f>
        <v>4.6209020158177587</v>
      </c>
      <c r="W37" s="51">
        <f>1000000*R37/U37</f>
        <v>100.6833953648654</v>
      </c>
      <c r="X37" s="51"/>
      <c r="Y37" s="88">
        <f t="shared" si="45"/>
        <v>456.62308527409039</v>
      </c>
      <c r="Z37" s="34">
        <f t="shared" si="35"/>
        <v>98.816872487455683</v>
      </c>
      <c r="AA37" s="51">
        <f t="shared" si="36"/>
        <v>1.8665228774097269</v>
      </c>
      <c r="AB37" s="57">
        <f t="shared" si="37"/>
        <v>1.8538537269682413E-2</v>
      </c>
      <c r="AC37" s="32" t="s">
        <v>431</v>
      </c>
      <c r="AD37" s="51">
        <f t="shared" si="46"/>
        <v>100.6833953648654</v>
      </c>
      <c r="AE37" s="51">
        <f t="shared" si="47"/>
        <v>465.24810460088287</v>
      </c>
      <c r="AF37" s="30">
        <f>AD37/AD19</f>
        <v>0.39624912812686364</v>
      </c>
      <c r="AG37" s="30">
        <f>AE37/AE19</f>
        <v>0.375658180389491</v>
      </c>
      <c r="AH37" s="26" t="s">
        <v>115</v>
      </c>
    </row>
    <row r="38" spans="1:34" ht="15" customHeight="1">
      <c r="A38" s="3" t="s">
        <v>391</v>
      </c>
      <c r="B38" s="48"/>
      <c r="C38" s="205">
        <f>100*C37/E37</f>
        <v>30.724195160234455</v>
      </c>
      <c r="D38" s="206"/>
      <c r="E38" s="205">
        <f t="shared" ref="E38" si="51">100*E37/$R37</f>
        <v>88.471497126310183</v>
      </c>
      <c r="F38" s="207" t="s">
        <v>428</v>
      </c>
      <c r="G38" s="205">
        <f t="shared" ref="G38" si="52">100*G37/$R37</f>
        <v>9.6746491467215741</v>
      </c>
      <c r="H38" s="208"/>
      <c r="I38" s="208"/>
      <c r="J38" s="205">
        <f>100*J37/$R37</f>
        <v>0.96417378999199299</v>
      </c>
      <c r="K38" s="205">
        <f>100*K37/$R37</f>
        <v>0.88967993697624848</v>
      </c>
      <c r="L38" s="205">
        <f>100*L37/$R37</f>
        <v>1.8538537269682416</v>
      </c>
      <c r="M38" s="196"/>
      <c r="N38" s="196"/>
      <c r="O38" s="28">
        <f t="shared" si="9"/>
        <v>19.283475799839859</v>
      </c>
      <c r="P38" s="28">
        <f t="shared" si="10"/>
        <v>12.187396396934911</v>
      </c>
      <c r="Q38" s="28">
        <f t="shared" si="11"/>
        <v>31.470872196774771</v>
      </c>
      <c r="R38" s="109"/>
      <c r="S38" s="249"/>
      <c r="T38" s="33"/>
      <c r="U38" s="33"/>
      <c r="V38" s="51"/>
      <c r="W38" s="51"/>
      <c r="X38" s="51"/>
      <c r="Y38" s="49"/>
    </row>
    <row r="39" spans="1:34" ht="15" customHeight="1">
      <c r="A39" s="96" t="s">
        <v>123</v>
      </c>
      <c r="B39" s="199">
        <f>B28+B31+B32</f>
        <v>140.63145330664</v>
      </c>
      <c r="C39" s="199">
        <f t="shared" ref="C39:G39" si="53">C28+C31+C32</f>
        <v>120.05894824207</v>
      </c>
      <c r="D39" s="199">
        <f t="shared" si="53"/>
        <v>61.909015247929993</v>
      </c>
      <c r="E39" s="199">
        <f t="shared" si="53"/>
        <v>322.59941679663996</v>
      </c>
      <c r="F39" s="200">
        <f t="shared" ref="F39:F40" si="54">100*E39/R39</f>
        <v>87.28304473755864</v>
      </c>
      <c r="G39" s="199">
        <f t="shared" si="53"/>
        <v>42.265594827409998</v>
      </c>
      <c r="H39" s="91">
        <f t="shared" ref="H39:H40" si="55">G39/D39</f>
        <v>0.68270500924860378</v>
      </c>
      <c r="I39" s="92">
        <f t="shared" ref="I39:I40" si="56">100*G39/R39</f>
        <v>11.43545094040225</v>
      </c>
      <c r="J39" s="199">
        <f t="shared" ref="J39:U39" si="57">J28+J31+J32</f>
        <v>1.8812370444183</v>
      </c>
      <c r="K39" s="199">
        <f t="shared" si="57"/>
        <v>2.8552217736170999</v>
      </c>
      <c r="L39" s="199">
        <f t="shared" si="57"/>
        <v>4.7364588180354001</v>
      </c>
      <c r="M39" s="196">
        <f t="shared" si="7"/>
        <v>0.77251364021953983</v>
      </c>
      <c r="N39" s="196">
        <f t="shared" si="8"/>
        <v>1.2815043220391025</v>
      </c>
      <c r="O39" s="28">
        <f t="shared" si="9"/>
        <v>37.624740888365999</v>
      </c>
      <c r="P39" s="28">
        <f t="shared" si="10"/>
        <v>39.112627035850686</v>
      </c>
      <c r="Q39" s="28">
        <f t="shared" si="11"/>
        <v>76.737367924216684</v>
      </c>
      <c r="R39" s="108">
        <f t="shared" si="57"/>
        <v>369.60147044208537</v>
      </c>
      <c r="S39" s="250"/>
      <c r="T39" s="97">
        <f t="shared" si="57"/>
        <v>871123.63166109892</v>
      </c>
      <c r="U39" s="97">
        <f t="shared" si="57"/>
        <v>4083993.1243514996</v>
      </c>
      <c r="V39" s="51">
        <f>U39/T39</f>
        <v>4.6881900294266527</v>
      </c>
      <c r="W39" s="51">
        <f>1000000*R39/U39</f>
        <v>90.500022695502139</v>
      </c>
      <c r="X39" s="98"/>
      <c r="Y39" s="88">
        <f t="shared" ref="Y39" si="58">Z39*V39</f>
        <v>418.84412081475568</v>
      </c>
      <c r="Z39" s="34">
        <f t="shared" ref="Z39" si="59">W39-AA39</f>
        <v>89.340260993212908</v>
      </c>
      <c r="AA39" s="51">
        <f t="shared" ref="AA39" si="60">W39*L39/R39</f>
        <v>1.1597617022892286</v>
      </c>
      <c r="AB39" s="57">
        <f t="shared" si="37"/>
        <v>1.2815043220391025E-2</v>
      </c>
      <c r="AC39" s="96" t="s">
        <v>123</v>
      </c>
      <c r="AD39" s="51">
        <f t="shared" ref="AD39" si="61">1000000*R39/U39</f>
        <v>90.500022695502139</v>
      </c>
      <c r="AE39" s="51">
        <f t="shared" ref="AE39" si="62">1000000*R39/T39</f>
        <v>424.28130406393888</v>
      </c>
      <c r="AF39" s="78">
        <f>AD39/AD21</f>
        <v>0.44962447548831996</v>
      </c>
      <c r="AG39" s="78">
        <f>AE39/AE21</f>
        <v>0.39953078956853533</v>
      </c>
    </row>
    <row r="40" spans="1:34" ht="15" customHeight="1">
      <c r="A40" s="96" t="s">
        <v>114</v>
      </c>
      <c r="B40" s="48">
        <f>B39+B35</f>
        <v>147.36946802539001</v>
      </c>
      <c r="C40" s="48">
        <f t="shared" ref="C40:G40" si="63">C39+C35</f>
        <v>120.8432491688278</v>
      </c>
      <c r="D40" s="48">
        <f t="shared" si="63"/>
        <v>63.426316529911993</v>
      </c>
      <c r="E40" s="48">
        <f t="shared" si="63"/>
        <v>331.63903372412977</v>
      </c>
      <c r="F40" s="200">
        <f t="shared" si="54"/>
        <v>87.217383152327372</v>
      </c>
      <c r="G40" s="48">
        <f t="shared" si="63"/>
        <v>42.713723358659998</v>
      </c>
      <c r="H40" s="91">
        <f t="shared" si="55"/>
        <v>0.67343849833240921</v>
      </c>
      <c r="I40" s="92">
        <f t="shared" si="56"/>
        <v>11.233234924733496</v>
      </c>
      <c r="J40" s="48">
        <f>J39+J35</f>
        <v>2.7718848705596999</v>
      </c>
      <c r="K40" s="48">
        <f t="shared" ref="K40:R40" si="64">K39+K35</f>
        <v>3.1195499010584999</v>
      </c>
      <c r="L40" s="48">
        <f t="shared" si="64"/>
        <v>5.8914347716182007</v>
      </c>
      <c r="M40" s="196">
        <f t="shared" si="7"/>
        <v>0.82040698264049938</v>
      </c>
      <c r="N40" s="196">
        <f t="shared" si="8"/>
        <v>1.5493819229391352</v>
      </c>
      <c r="O40" s="28">
        <f t="shared" si="9"/>
        <v>55.437697411193994</v>
      </c>
      <c r="P40" s="28">
        <f t="shared" si="10"/>
        <v>42.733560288472603</v>
      </c>
      <c r="Q40" s="28">
        <f t="shared" si="11"/>
        <v>98.171257699666597</v>
      </c>
      <c r="R40" s="105">
        <f t="shared" si="64"/>
        <v>380.24419185440797</v>
      </c>
      <c r="S40" s="246"/>
      <c r="T40" s="33">
        <f t="shared" ref="T40" si="65">T39+T35</f>
        <v>890858.47161165893</v>
      </c>
      <c r="U40" s="33">
        <f t="shared" ref="U40" si="66">U39+U35</f>
        <v>4182239.6045379597</v>
      </c>
      <c r="V40" s="51">
        <f>U40/T40</f>
        <v>4.6946173133111007</v>
      </c>
      <c r="W40" s="51">
        <f>1000000*R40/U40</f>
        <v>90.918796580143834</v>
      </c>
      <c r="X40" s="98"/>
      <c r="Y40" s="88">
        <f t="shared" ref="Y40" si="67">Z40*V40</f>
        <v>420.21574583619923</v>
      </c>
      <c r="Z40" s="34">
        <f t="shared" ref="Z40" si="68">W40-AA40</f>
        <v>89.510117181377282</v>
      </c>
      <c r="AA40" s="51">
        <f t="shared" ref="AA40" si="69">W40*L40/R40</f>
        <v>1.4086793987665533</v>
      </c>
      <c r="AB40" s="57">
        <f t="shared" ref="AB40" si="70">AA40/W40</f>
        <v>1.5493819229391354E-2</v>
      </c>
      <c r="AC40" s="96" t="s">
        <v>114</v>
      </c>
      <c r="AD40" s="51">
        <f t="shared" ref="AD40" si="71">1000000*R40/U40</f>
        <v>90.918796580143834</v>
      </c>
      <c r="AE40" s="51">
        <f t="shared" ref="AE40" si="72">1000000*R40/T40</f>
        <v>426.82895653055334</v>
      </c>
      <c r="AF40" s="78"/>
      <c r="AG40" s="78"/>
    </row>
    <row r="41" spans="1:34" ht="15" customHeight="1">
      <c r="B41" s="48"/>
      <c r="C41" s="48"/>
      <c r="D41" s="48"/>
      <c r="E41" s="48"/>
      <c r="F41" s="48"/>
      <c r="G41" s="48"/>
      <c r="H41" s="92"/>
      <c r="I41" s="92"/>
      <c r="J41" s="48"/>
      <c r="K41" s="48"/>
      <c r="L41" s="48"/>
      <c r="M41" s="48"/>
      <c r="N41" s="48"/>
      <c r="O41" s="34"/>
      <c r="P41" s="34"/>
      <c r="Q41" s="34"/>
      <c r="R41" s="109"/>
      <c r="S41" s="249"/>
      <c r="T41" s="57"/>
      <c r="V41" s="51"/>
      <c r="Y41" s="49"/>
      <c r="AE41" s="49"/>
    </row>
    <row r="42" spans="1:34" ht="15" customHeight="1">
      <c r="B42" s="192" t="s">
        <v>432</v>
      </c>
      <c r="C42" s="49"/>
      <c r="D42" s="48"/>
      <c r="E42" s="48"/>
      <c r="F42" s="48"/>
      <c r="G42" s="48"/>
      <c r="H42" s="92"/>
      <c r="I42" s="92"/>
      <c r="J42" s="48"/>
      <c r="K42" s="48"/>
      <c r="L42" s="48"/>
      <c r="M42" s="48"/>
      <c r="N42" s="48"/>
      <c r="O42" s="34"/>
      <c r="P42" s="34"/>
      <c r="Q42" s="34"/>
      <c r="R42" s="105"/>
      <c r="S42" s="246"/>
      <c r="T42" s="57"/>
      <c r="V42" s="56"/>
      <c r="Y42" s="49"/>
      <c r="AC42" s="95" t="s">
        <v>432</v>
      </c>
      <c r="AE42" s="49"/>
    </row>
    <row r="43" spans="1:34" ht="15" customHeight="1">
      <c r="B43" s="202" t="s">
        <v>440</v>
      </c>
      <c r="C43" s="47"/>
      <c r="D43" s="47"/>
      <c r="E43" s="48"/>
      <c r="F43" s="48"/>
      <c r="G43" s="47" t="s">
        <v>430</v>
      </c>
      <c r="H43" s="90"/>
      <c r="I43" s="92"/>
      <c r="J43" s="47" t="s">
        <v>295</v>
      </c>
      <c r="K43" s="47" t="s">
        <v>296</v>
      </c>
      <c r="L43" s="203" t="s">
        <v>297</v>
      </c>
      <c r="M43" s="48"/>
      <c r="N43" s="48"/>
      <c r="O43" s="34"/>
      <c r="P43" s="34"/>
      <c r="Q43" s="34"/>
      <c r="R43" s="104" t="s">
        <v>169</v>
      </c>
      <c r="S43" s="203"/>
      <c r="T43" s="84" t="s">
        <v>170</v>
      </c>
      <c r="U43" s="56" t="s">
        <v>171</v>
      </c>
      <c r="V43" s="85" t="s">
        <v>172</v>
      </c>
      <c r="W43" s="85" t="s">
        <v>173</v>
      </c>
      <c r="X43" s="85"/>
      <c r="Y43" s="49"/>
      <c r="AD43" s="111" t="s">
        <v>27</v>
      </c>
      <c r="AE43" s="56"/>
    </row>
    <row r="44" spans="1:34" ht="15" customHeight="1">
      <c r="B44" s="47" t="s">
        <v>176</v>
      </c>
      <c r="C44" s="47" t="s">
        <v>177</v>
      </c>
      <c r="D44" s="47" t="s">
        <v>178</v>
      </c>
      <c r="E44" s="47" t="s">
        <v>179</v>
      </c>
      <c r="F44" s="48"/>
      <c r="G44" s="47" t="s">
        <v>181</v>
      </c>
      <c r="H44" s="90"/>
      <c r="I44" s="92"/>
      <c r="J44" s="47" t="s">
        <v>184</v>
      </c>
      <c r="K44" s="47" t="s">
        <v>184</v>
      </c>
      <c r="L44" s="203" t="s">
        <v>185</v>
      </c>
      <c r="M44" s="48"/>
      <c r="N44" s="48"/>
      <c r="O44" s="34"/>
      <c r="P44" s="34"/>
      <c r="Q44" s="34"/>
      <c r="R44" s="104" t="s">
        <v>186</v>
      </c>
      <c r="S44" s="203"/>
      <c r="T44" s="84" t="s">
        <v>187</v>
      </c>
      <c r="U44" s="54" t="s">
        <v>188</v>
      </c>
      <c r="V44" s="85" t="s">
        <v>189</v>
      </c>
      <c r="W44" s="85" t="s">
        <v>190</v>
      </c>
      <c r="X44" s="85"/>
      <c r="Y44" s="49"/>
      <c r="AD44" s="112" t="s">
        <v>272</v>
      </c>
      <c r="AE44" s="56" t="s">
        <v>273</v>
      </c>
    </row>
    <row r="45" spans="1:34" ht="15" customHeight="1">
      <c r="A45" s="59" t="s">
        <v>274</v>
      </c>
      <c r="B45" s="48">
        <f t="shared" ref="B45:E53" si="73">B9+B26</f>
        <v>665.73235948459399</v>
      </c>
      <c r="C45" s="48">
        <f t="shared" si="73"/>
        <v>26.595408723020498</v>
      </c>
      <c r="D45" s="48">
        <f t="shared" si="73"/>
        <v>111.867871339248</v>
      </c>
      <c r="E45" s="48">
        <f t="shared" si="73"/>
        <v>804.19563954686259</v>
      </c>
      <c r="F45" s="90">
        <f>100*E45/R45</f>
        <v>74.337527671267921</v>
      </c>
      <c r="G45" s="48">
        <f t="shared" ref="G45:G53" si="74">G9+G26</f>
        <v>87.711497701175603</v>
      </c>
      <c r="H45" s="91">
        <f>G45/D45</f>
        <v>0.78406334768973729</v>
      </c>
      <c r="I45" s="92">
        <f>100*G45/R45</f>
        <v>8.1077981113195783</v>
      </c>
      <c r="J45" s="48">
        <f t="shared" ref="J45:L53" si="75">J9+J26</f>
        <v>90.348865878746011</v>
      </c>
      <c r="K45" s="48">
        <f t="shared" si="75"/>
        <v>99.560496210052207</v>
      </c>
      <c r="L45" s="48">
        <f t="shared" si="75"/>
        <v>189.90936208879822</v>
      </c>
      <c r="M45" s="196">
        <f t="shared" si="7"/>
        <v>9.2030853911993127</v>
      </c>
      <c r="N45" s="196">
        <f t="shared" si="8"/>
        <v>17.554674217412511</v>
      </c>
      <c r="O45" s="28">
        <f t="shared" si="9"/>
        <v>1806.9773175749201</v>
      </c>
      <c r="P45" s="28">
        <f t="shared" si="10"/>
        <v>1363.8424138363316</v>
      </c>
      <c r="Q45" s="28">
        <f t="shared" si="11"/>
        <v>3170.8197314112517</v>
      </c>
      <c r="R45" s="105">
        <f t="shared" ref="R45:T53" si="76">R9+R26</f>
        <v>1081.8164993368364</v>
      </c>
      <c r="S45" s="246"/>
      <c r="T45" s="33">
        <f t="shared" si="76"/>
        <v>780930.20409396302</v>
      </c>
      <c r="U45" s="33">
        <f t="shared" ref="U45:U53" si="77">U26+U9</f>
        <v>3472851.6713947798</v>
      </c>
      <c r="V45" s="51">
        <f t="shared" ref="V45:V53" si="78">U45/T45</f>
        <v>4.4470704977072693</v>
      </c>
      <c r="W45" s="51">
        <f t="shared" ref="W45:W53" si="79">1000000*R45/U45</f>
        <v>311.50668145361738</v>
      </c>
      <c r="X45" s="51"/>
      <c r="Y45" s="88">
        <f>Z45*V45</f>
        <v>1142.1086450137125</v>
      </c>
      <c r="Z45" s="34">
        <f t="shared" si="35"/>
        <v>256.82269835896187</v>
      </c>
      <c r="AA45" s="51">
        <f t="shared" si="36"/>
        <v>54.683983094655495</v>
      </c>
      <c r="AB45" s="52">
        <f t="shared" si="37"/>
        <v>0.17554674217412514</v>
      </c>
      <c r="AC45" s="59" t="s">
        <v>274</v>
      </c>
      <c r="AD45" s="238">
        <f>1000000*R45/U45</f>
        <v>311.50668145361738</v>
      </c>
      <c r="AE45" s="88">
        <f>1000000*R45/T45</f>
        <v>1385.2921729310781</v>
      </c>
    </row>
    <row r="46" spans="1:34" ht="15" customHeight="1">
      <c r="A46" s="59" t="s">
        <v>433</v>
      </c>
      <c r="B46" s="48">
        <f t="shared" si="73"/>
        <v>1725.8901195969502</v>
      </c>
      <c r="C46" s="48">
        <f t="shared" si="73"/>
        <v>58.721932822997992</v>
      </c>
      <c r="D46" s="48">
        <f t="shared" si="73"/>
        <v>246.62382033754301</v>
      </c>
      <c r="E46" s="48">
        <f t="shared" si="73"/>
        <v>2031.2358727574913</v>
      </c>
      <c r="F46" s="90">
        <f t="shared" ref="F46:F53" si="80">100*E46/R46</f>
        <v>76.127423838793732</v>
      </c>
      <c r="G46" s="48">
        <f t="shared" si="74"/>
        <v>168.81950967771252</v>
      </c>
      <c r="H46" s="91">
        <f t="shared" ref="H46:H53" si="81">G46/D46</f>
        <v>0.68452232005268909</v>
      </c>
      <c r="I46" s="92">
        <f t="shared" ref="I46:I53" si="82">100*G46/R46</f>
        <v>6.3270812306232509</v>
      </c>
      <c r="J46" s="48">
        <f t="shared" si="75"/>
        <v>276.62123729414992</v>
      </c>
      <c r="K46" s="48">
        <f t="shared" si="75"/>
        <v>191.5285687961443</v>
      </c>
      <c r="L46" s="48">
        <f t="shared" si="75"/>
        <v>468.14980609029425</v>
      </c>
      <c r="M46" s="196">
        <f t="shared" si="7"/>
        <v>7.1781799098436903</v>
      </c>
      <c r="N46" s="196">
        <f t="shared" si="8"/>
        <v>17.545494930583015</v>
      </c>
      <c r="O46" s="28">
        <f t="shared" si="9"/>
        <v>5532.4247458829977</v>
      </c>
      <c r="P46" s="28">
        <f t="shared" si="10"/>
        <v>2623.6790246047167</v>
      </c>
      <c r="Q46" s="28">
        <f t="shared" si="11"/>
        <v>8156.1037704877144</v>
      </c>
      <c r="R46" s="105">
        <f t="shared" si="76"/>
        <v>2668.2051885254982</v>
      </c>
      <c r="S46" s="246"/>
      <c r="T46" s="33">
        <f t="shared" si="76"/>
        <v>1878143.4139409</v>
      </c>
      <c r="U46" s="33">
        <f t="shared" si="77"/>
        <v>8776845.9581455998</v>
      </c>
      <c r="V46" s="51">
        <f t="shared" si="78"/>
        <v>4.6731500336969383</v>
      </c>
      <c r="W46" s="51">
        <f t="shared" si="79"/>
        <v>304.0050151557229</v>
      </c>
      <c r="X46" s="51"/>
      <c r="Y46" s="88">
        <f t="shared" ref="Y46:Y55" si="83">Z46*V46</f>
        <v>1171.3990348686086</v>
      </c>
      <c r="Z46" s="34">
        <f t="shared" si="35"/>
        <v>250.66583063285742</v>
      </c>
      <c r="AA46" s="51">
        <f t="shared" si="36"/>
        <v>53.339184522865494</v>
      </c>
      <c r="AB46" s="52">
        <f t="shared" si="37"/>
        <v>0.17545494930583017</v>
      </c>
      <c r="AC46" s="59" t="s">
        <v>433</v>
      </c>
      <c r="AD46" s="238">
        <f t="shared" ref="AD46:AD53" si="84">1000000*R46/U46</f>
        <v>304.0050151557229</v>
      </c>
      <c r="AE46" s="88">
        <f t="shared" ref="AE46:AE53" si="85">1000000*R46/T46</f>
        <v>1420.6610468190047</v>
      </c>
    </row>
    <row r="47" spans="1:34" ht="15" customHeight="1">
      <c r="A47" s="59" t="s">
        <v>276</v>
      </c>
      <c r="B47" s="48">
        <f t="shared" si="73"/>
        <v>359.17999825252997</v>
      </c>
      <c r="C47" s="48">
        <f t="shared" si="73"/>
        <v>79.065811792419993</v>
      </c>
      <c r="D47" s="48">
        <f t="shared" si="73"/>
        <v>131.71496852774999</v>
      </c>
      <c r="E47" s="48">
        <f t="shared" si="73"/>
        <v>569.96077857270006</v>
      </c>
      <c r="F47" s="90">
        <f t="shared" si="80"/>
        <v>68.111643623166216</v>
      </c>
      <c r="G47" s="48">
        <f t="shared" si="74"/>
        <v>170.59876003306999</v>
      </c>
      <c r="H47" s="91">
        <f t="shared" si="81"/>
        <v>1.2952116372189535</v>
      </c>
      <c r="I47" s="92">
        <f t="shared" si="82"/>
        <v>20.38695008983742</v>
      </c>
      <c r="J47" s="48">
        <f t="shared" si="75"/>
        <v>59.3388053658391</v>
      </c>
      <c r="K47" s="48">
        <f t="shared" si="75"/>
        <v>36.905392150307598</v>
      </c>
      <c r="L47" s="48">
        <f t="shared" si="75"/>
        <v>96.244197516146713</v>
      </c>
      <c r="M47" s="196">
        <f t="shared" si="7"/>
        <v>4.4102805182660809</v>
      </c>
      <c r="N47" s="196">
        <f t="shared" si="8"/>
        <v>11.501406286996378</v>
      </c>
      <c r="O47" s="28">
        <f t="shared" si="9"/>
        <v>1186.7761073167819</v>
      </c>
      <c r="P47" s="28">
        <f t="shared" si="10"/>
        <v>505.55331712750137</v>
      </c>
      <c r="Q47" s="28">
        <f t="shared" si="11"/>
        <v>1692.3294244442832</v>
      </c>
      <c r="R47" s="105">
        <f t="shared" si="76"/>
        <v>836.8037361219167</v>
      </c>
      <c r="S47" s="246"/>
      <c r="T47" s="33">
        <f t="shared" si="76"/>
        <v>1156059.3143006</v>
      </c>
      <c r="U47" s="33">
        <f t="shared" si="77"/>
        <v>5836563.3224180005</v>
      </c>
      <c r="V47" s="51">
        <f t="shared" si="78"/>
        <v>5.0486711626462188</v>
      </c>
      <c r="W47" s="51">
        <f t="shared" si="79"/>
        <v>143.37268181564789</v>
      </c>
      <c r="X47" s="51"/>
      <c r="Y47" s="88">
        <f t="shared" si="83"/>
        <v>640.58956962238426</v>
      </c>
      <c r="Z47" s="34">
        <f t="shared" si="35"/>
        <v>126.88280717546766</v>
      </c>
      <c r="AA47" s="51">
        <f t="shared" si="36"/>
        <v>16.48987464018024</v>
      </c>
      <c r="AB47" s="52">
        <f t="shared" si="37"/>
        <v>0.11501406286996378</v>
      </c>
      <c r="AC47" s="59" t="s">
        <v>276</v>
      </c>
      <c r="AD47" s="238">
        <f t="shared" si="84"/>
        <v>143.37268181564789</v>
      </c>
      <c r="AE47" s="88">
        <f t="shared" si="85"/>
        <v>723.84152419391341</v>
      </c>
    </row>
    <row r="48" spans="1:34" ht="15" customHeight="1">
      <c r="A48" s="59" t="s">
        <v>435</v>
      </c>
      <c r="B48" s="48">
        <f t="shared" si="73"/>
        <v>1007.63345558609</v>
      </c>
      <c r="C48" s="48">
        <f t="shared" si="73"/>
        <v>92.053168431643002</v>
      </c>
      <c r="D48" s="48">
        <f t="shared" si="73"/>
        <v>295.28690315271194</v>
      </c>
      <c r="E48" s="48">
        <f t="shared" si="73"/>
        <v>1394.9735271704449</v>
      </c>
      <c r="F48" s="90">
        <f t="shared" si="80"/>
        <v>69.301436181776424</v>
      </c>
      <c r="G48" s="48">
        <f t="shared" si="74"/>
        <v>235.03458074800309</v>
      </c>
      <c r="H48" s="91">
        <f t="shared" si="81"/>
        <v>0.79595328556258904</v>
      </c>
      <c r="I48" s="92">
        <f t="shared" si="82"/>
        <v>11.676374985593641</v>
      </c>
      <c r="J48" s="48">
        <f t="shared" si="75"/>
        <v>251.77582187677959</v>
      </c>
      <c r="K48" s="48">
        <f t="shared" si="75"/>
        <v>131.12316712474711</v>
      </c>
      <c r="L48" s="48">
        <f t="shared" si="75"/>
        <v>382.89898900152667</v>
      </c>
      <c r="M48" s="196">
        <f t="shared" si="7"/>
        <v>6.5141191724835998</v>
      </c>
      <c r="N48" s="196">
        <f t="shared" si="8"/>
        <v>19.022188832629926</v>
      </c>
      <c r="O48" s="28">
        <f t="shared" si="9"/>
        <v>5035.5164375355916</v>
      </c>
      <c r="P48" s="28">
        <f t="shared" si="10"/>
        <v>1796.2077688321524</v>
      </c>
      <c r="Q48" s="28">
        <f t="shared" si="11"/>
        <v>6831.724206367744</v>
      </c>
      <c r="R48" s="105">
        <f t="shared" si="76"/>
        <v>2012.9070969199747</v>
      </c>
      <c r="S48" s="246"/>
      <c r="T48" s="33">
        <f t="shared" si="76"/>
        <v>1827489.2496492001</v>
      </c>
      <c r="U48" s="33">
        <f t="shared" si="77"/>
        <v>9084675.6282959003</v>
      </c>
      <c r="V48" s="51">
        <f t="shared" si="78"/>
        <v>4.9711239779056262</v>
      </c>
      <c r="W48" s="51">
        <f t="shared" si="79"/>
        <v>221.57170814667327</v>
      </c>
      <c r="X48" s="51"/>
      <c r="Y48" s="88">
        <f t="shared" si="83"/>
        <v>891.93854805512001</v>
      </c>
      <c r="Z48" s="34">
        <f t="shared" si="35"/>
        <v>179.42391942332944</v>
      </c>
      <c r="AA48" s="51">
        <f t="shared" si="36"/>
        <v>42.147788723343851</v>
      </c>
      <c r="AB48" s="52">
        <f t="shared" si="37"/>
        <v>0.19022188832629924</v>
      </c>
      <c r="AC48" s="59" t="s">
        <v>277</v>
      </c>
      <c r="AD48" s="238">
        <f t="shared" si="84"/>
        <v>221.57170814667327</v>
      </c>
      <c r="AE48" s="88">
        <f t="shared" si="85"/>
        <v>1101.4604311934349</v>
      </c>
    </row>
    <row r="49" spans="1:31" ht="15" customHeight="1">
      <c r="A49" s="59" t="s">
        <v>278</v>
      </c>
      <c r="B49" s="48">
        <f t="shared" si="73"/>
        <v>426.890147564252</v>
      </c>
      <c r="C49" s="48">
        <f t="shared" si="73"/>
        <v>26.748877275392999</v>
      </c>
      <c r="D49" s="48">
        <f t="shared" si="73"/>
        <v>184.52172349762799</v>
      </c>
      <c r="E49" s="48">
        <f t="shared" si="73"/>
        <v>638.16074833727293</v>
      </c>
      <c r="F49" s="90">
        <f t="shared" si="80"/>
        <v>72.774717427709788</v>
      </c>
      <c r="G49" s="48">
        <f t="shared" si="74"/>
        <v>101.7684654599188</v>
      </c>
      <c r="H49" s="91">
        <f t="shared" si="81"/>
        <v>0.55152566066957975</v>
      </c>
      <c r="I49" s="92">
        <f t="shared" si="82"/>
        <v>11.605494910481418</v>
      </c>
      <c r="J49" s="48">
        <f t="shared" si="75"/>
        <v>85.203025138273986</v>
      </c>
      <c r="K49" s="48">
        <f t="shared" si="75"/>
        <v>51.7667321545768</v>
      </c>
      <c r="L49" s="48">
        <f t="shared" si="75"/>
        <v>136.9697572928508</v>
      </c>
      <c r="M49" s="196">
        <f t="shared" si="7"/>
        <v>5.9033861210063217</v>
      </c>
      <c r="N49" s="196">
        <f t="shared" si="8"/>
        <v>15.619787661808806</v>
      </c>
      <c r="O49" s="28">
        <f t="shared" si="9"/>
        <v>1704.0605027654797</v>
      </c>
      <c r="P49" s="28">
        <f t="shared" si="10"/>
        <v>709.13331718598363</v>
      </c>
      <c r="Q49" s="28">
        <f t="shared" si="11"/>
        <v>2413.1938199514634</v>
      </c>
      <c r="R49" s="105">
        <f t="shared" si="76"/>
        <v>876.89897109004244</v>
      </c>
      <c r="S49" s="246"/>
      <c r="T49" s="33">
        <f t="shared" si="76"/>
        <v>766032.95083621994</v>
      </c>
      <c r="U49" s="33">
        <f t="shared" si="77"/>
        <v>3844352.9095461997</v>
      </c>
      <c r="V49" s="51">
        <f t="shared" si="78"/>
        <v>5.018521599298845</v>
      </c>
      <c r="W49" s="51">
        <f t="shared" si="79"/>
        <v>228.10053908228591</v>
      </c>
      <c r="X49" s="51"/>
      <c r="Y49" s="88">
        <f t="shared" si="83"/>
        <v>965.92348017075142</v>
      </c>
      <c r="Z49" s="34">
        <f t="shared" si="35"/>
        <v>192.47171922219164</v>
      </c>
      <c r="AA49" s="51">
        <f t="shared" si="36"/>
        <v>35.628819860094261</v>
      </c>
      <c r="AB49" s="52">
        <f t="shared" si="37"/>
        <v>0.15619787661808804</v>
      </c>
      <c r="AC49" s="59" t="s">
        <v>278</v>
      </c>
      <c r="AD49" s="238">
        <f t="shared" si="84"/>
        <v>228.10053908228591</v>
      </c>
      <c r="AE49" s="88">
        <f t="shared" si="85"/>
        <v>1144.7274821961621</v>
      </c>
    </row>
    <row r="50" spans="1:31" ht="15" customHeight="1">
      <c r="A50" s="59" t="s">
        <v>423</v>
      </c>
      <c r="B50" s="48">
        <f t="shared" si="73"/>
        <v>249.68169588997</v>
      </c>
      <c r="C50" s="48">
        <f t="shared" si="73"/>
        <v>91.336802705319997</v>
      </c>
      <c r="D50" s="48">
        <f t="shared" si="73"/>
        <v>170.8261615564</v>
      </c>
      <c r="E50" s="48">
        <f t="shared" si="73"/>
        <v>511.84466015168999</v>
      </c>
      <c r="F50" s="90">
        <f t="shared" si="80"/>
        <v>66.38790977255681</v>
      </c>
      <c r="G50" s="48">
        <f t="shared" si="74"/>
        <v>175.98146961772002</v>
      </c>
      <c r="H50" s="91">
        <f t="shared" si="81"/>
        <v>1.0301786799770594</v>
      </c>
      <c r="I50" s="92">
        <f t="shared" si="82"/>
        <v>22.825366436685627</v>
      </c>
      <c r="J50" s="48">
        <f t="shared" si="75"/>
        <v>47.498320266708703</v>
      </c>
      <c r="K50" s="48">
        <f t="shared" si="75"/>
        <v>35.666325099378</v>
      </c>
      <c r="L50" s="48">
        <f t="shared" si="75"/>
        <v>83.164645366086688</v>
      </c>
      <c r="M50" s="196">
        <f t="shared" si="7"/>
        <v>4.6260378528017885</v>
      </c>
      <c r="N50" s="196">
        <f t="shared" si="8"/>
        <v>10.786723790757554</v>
      </c>
      <c r="O50" s="28">
        <f t="shared" si="9"/>
        <v>949.96640533417406</v>
      </c>
      <c r="P50" s="28">
        <f t="shared" si="10"/>
        <v>488.57979588189045</v>
      </c>
      <c r="Q50" s="28">
        <f t="shared" si="11"/>
        <v>1438.5462012160644</v>
      </c>
      <c r="R50" s="105">
        <f t="shared" si="76"/>
        <v>770.99077513549673</v>
      </c>
      <c r="S50" s="246"/>
      <c r="T50" s="33">
        <f t="shared" si="76"/>
        <v>849182.47999999695</v>
      </c>
      <c r="U50" s="33">
        <f t="shared" si="77"/>
        <v>4397022.8239130005</v>
      </c>
      <c r="V50" s="51">
        <f t="shared" si="78"/>
        <v>5.1779481177155429</v>
      </c>
      <c r="W50" s="51">
        <f t="shared" si="79"/>
        <v>175.3438192184266</v>
      </c>
      <c r="X50" s="51"/>
      <c r="Y50" s="88">
        <f t="shared" si="83"/>
        <v>809.98624673628763</v>
      </c>
      <c r="Z50" s="34">
        <f t="shared" si="35"/>
        <v>156.42996575516966</v>
      </c>
      <c r="AA50" s="51">
        <f t="shared" si="36"/>
        <v>18.913853463256935</v>
      </c>
      <c r="AB50" s="52">
        <f t="shared" si="37"/>
        <v>0.10786723790757552</v>
      </c>
      <c r="AC50" s="59" t="s">
        <v>423</v>
      </c>
      <c r="AD50" s="238">
        <f t="shared" si="84"/>
        <v>175.3438192184266</v>
      </c>
      <c r="AE50" s="88">
        <f t="shared" si="85"/>
        <v>907.92119867510633</v>
      </c>
    </row>
    <row r="51" spans="1:31" ht="15" customHeight="1">
      <c r="A51" s="59" t="s">
        <v>424</v>
      </c>
      <c r="B51" s="48">
        <f t="shared" si="73"/>
        <v>157.19901560804001</v>
      </c>
      <c r="C51" s="48">
        <f t="shared" si="73"/>
        <v>30.705601162240001</v>
      </c>
      <c r="D51" s="48">
        <f t="shared" si="73"/>
        <v>83.706324541560008</v>
      </c>
      <c r="E51" s="48">
        <f t="shared" si="73"/>
        <v>271.61094131184001</v>
      </c>
      <c r="F51" s="90">
        <f t="shared" si="80"/>
        <v>66.765434239013757</v>
      </c>
      <c r="G51" s="48">
        <f t="shared" si="74"/>
        <v>105.32260016687</v>
      </c>
      <c r="H51" s="91">
        <f t="shared" si="81"/>
        <v>1.2582394549479659</v>
      </c>
      <c r="I51" s="92">
        <f t="shared" si="82"/>
        <v>25.889638691873145</v>
      </c>
      <c r="J51" s="48">
        <f t="shared" si="75"/>
        <v>16.8116840040705</v>
      </c>
      <c r="K51" s="48">
        <f t="shared" si="75"/>
        <v>13.0684864441115</v>
      </c>
      <c r="L51" s="48">
        <f t="shared" si="75"/>
        <v>29.880170448182</v>
      </c>
      <c r="M51" s="196">
        <f t="shared" si="7"/>
        <v>3.2124006789771187</v>
      </c>
      <c r="N51" s="196">
        <f t="shared" si="8"/>
        <v>7.3449270691130799</v>
      </c>
      <c r="O51" s="28">
        <f t="shared" si="9"/>
        <v>336.23368008141</v>
      </c>
      <c r="P51" s="28">
        <f t="shared" si="10"/>
        <v>179.02036224810274</v>
      </c>
      <c r="Q51" s="28">
        <f t="shared" si="11"/>
        <v>515.25404232951269</v>
      </c>
      <c r="R51" s="105">
        <f t="shared" si="76"/>
        <v>406.81371192689204</v>
      </c>
      <c r="S51" s="246"/>
      <c r="T51" s="33">
        <f t="shared" si="76"/>
        <v>414926.87062840001</v>
      </c>
      <c r="U51" s="33">
        <f t="shared" si="77"/>
        <v>2023170.6563794999</v>
      </c>
      <c r="V51" s="51">
        <f t="shared" si="78"/>
        <v>4.8759692360136642</v>
      </c>
      <c r="W51" s="51">
        <f t="shared" si="79"/>
        <v>201.07730934319326</v>
      </c>
      <c r="X51" s="51"/>
      <c r="Y51" s="88">
        <f t="shared" si="83"/>
        <v>908.43367388535319</v>
      </c>
      <c r="Z51" s="34">
        <f t="shared" si="35"/>
        <v>186.30832761940081</v>
      </c>
      <c r="AA51" s="51">
        <f t="shared" si="36"/>
        <v>14.768981723792447</v>
      </c>
      <c r="AB51" s="52">
        <f t="shared" si="37"/>
        <v>7.3449270691130802E-2</v>
      </c>
      <c r="AC51" s="59" t="s">
        <v>424</v>
      </c>
      <c r="AD51" s="238">
        <f t="shared" si="84"/>
        <v>201.07730934319326</v>
      </c>
      <c r="AE51" s="88">
        <f t="shared" si="85"/>
        <v>980.44677441781312</v>
      </c>
    </row>
    <row r="52" spans="1:31" ht="15" customHeight="1">
      <c r="A52" s="59" t="s">
        <v>256</v>
      </c>
      <c r="B52" s="48">
        <f t="shared" si="73"/>
        <v>64.784344920414995</v>
      </c>
      <c r="C52" s="48">
        <f t="shared" si="73"/>
        <v>8.8908223491207483</v>
      </c>
      <c r="D52" s="48">
        <f t="shared" si="73"/>
        <v>7.65355471508789</v>
      </c>
      <c r="E52" s="48">
        <f t="shared" si="73"/>
        <v>81.328721984623627</v>
      </c>
      <c r="F52" s="90">
        <f t="shared" si="80"/>
        <v>90.261432568905022</v>
      </c>
      <c r="G52" s="48">
        <f t="shared" si="74"/>
        <v>3.2121061621095599</v>
      </c>
      <c r="H52" s="91">
        <f t="shared" si="81"/>
        <v>0.41968814252772657</v>
      </c>
      <c r="I52" s="92">
        <f t="shared" si="82"/>
        <v>3.5649066735640047</v>
      </c>
      <c r="J52" s="48">
        <f t="shared" si="75"/>
        <v>2.2658368444517931</v>
      </c>
      <c r="K52" s="48">
        <f t="shared" si="75"/>
        <v>3.2968484031296796</v>
      </c>
      <c r="L52" s="48">
        <f t="shared" si="75"/>
        <v>5.5626852475814728</v>
      </c>
      <c r="M52" s="196">
        <f t="shared" si="7"/>
        <v>3.6589565477895154</v>
      </c>
      <c r="N52" s="196">
        <f t="shared" si="8"/>
        <v>6.1736607575309774</v>
      </c>
      <c r="O52" s="28">
        <f t="shared" si="9"/>
        <v>45.316736889035859</v>
      </c>
      <c r="P52" s="28">
        <f t="shared" si="10"/>
        <v>45.162306892187395</v>
      </c>
      <c r="Q52" s="28">
        <f t="shared" si="11"/>
        <v>90.479043781223254</v>
      </c>
      <c r="R52" s="105">
        <f t="shared" si="76"/>
        <v>90.10351339431466</v>
      </c>
      <c r="S52" s="246"/>
      <c r="T52" s="33">
        <f t="shared" si="76"/>
        <v>84657.370216372001</v>
      </c>
      <c r="U52" s="33">
        <f t="shared" si="77"/>
        <v>307545.56095119996</v>
      </c>
      <c r="V52" s="51">
        <f t="shared" si="78"/>
        <v>3.6328267717879492</v>
      </c>
      <c r="W52" s="51">
        <f t="shared" si="79"/>
        <v>292.97614673948067</v>
      </c>
      <c r="X52" s="51"/>
      <c r="Y52" s="88">
        <f t="shared" si="83"/>
        <v>998.62336770749016</v>
      </c>
      <c r="Z52" s="34">
        <f t="shared" si="35"/>
        <v>274.88879333929896</v>
      </c>
      <c r="AA52" s="51">
        <f t="shared" si="36"/>
        <v>18.087353400181691</v>
      </c>
      <c r="AB52" s="52">
        <f t="shared" si="37"/>
        <v>6.1736607575309778E-2</v>
      </c>
      <c r="AC52" s="59" t="s">
        <v>425</v>
      </c>
      <c r="AD52" s="238">
        <f t="shared" si="84"/>
        <v>292.97614673948067</v>
      </c>
      <c r="AE52" s="88">
        <f t="shared" si="85"/>
        <v>1064.3315893704601</v>
      </c>
    </row>
    <row r="53" spans="1:31" ht="15" customHeight="1">
      <c r="A53" s="59" t="s">
        <v>426</v>
      </c>
      <c r="B53" s="48">
        <f t="shared" si="73"/>
        <v>198.60407878514999</v>
      </c>
      <c r="C53" s="48">
        <f t="shared" si="73"/>
        <v>11.134943883793801</v>
      </c>
      <c r="D53" s="48">
        <f t="shared" si="73"/>
        <v>26.058520865482901</v>
      </c>
      <c r="E53" s="48">
        <f t="shared" si="73"/>
        <v>235.79754353442672</v>
      </c>
      <c r="F53" s="90">
        <f t="shared" si="80"/>
        <v>75.449241122676227</v>
      </c>
      <c r="G53" s="48">
        <f t="shared" si="74"/>
        <v>21.887868028134381</v>
      </c>
      <c r="H53" s="91">
        <f t="shared" si="81"/>
        <v>0.83995051526992215</v>
      </c>
      <c r="I53" s="92">
        <f t="shared" si="82"/>
        <v>7.0035633440554355</v>
      </c>
      <c r="J53" s="48">
        <f t="shared" si="75"/>
        <v>30.268075546292259</v>
      </c>
      <c r="K53" s="48">
        <f t="shared" si="75"/>
        <v>24.5712514117544</v>
      </c>
      <c r="L53" s="48">
        <f t="shared" si="75"/>
        <v>54.839326958046655</v>
      </c>
      <c r="M53" s="196">
        <f t="shared" si="7"/>
        <v>7.8621780560690508</v>
      </c>
      <c r="N53" s="196">
        <f t="shared" si="8"/>
        <v>17.547195533268347</v>
      </c>
      <c r="O53" s="28">
        <f t="shared" si="9"/>
        <v>605.3615109258451</v>
      </c>
      <c r="P53" s="28">
        <f t="shared" si="10"/>
        <v>336.59248509252603</v>
      </c>
      <c r="Q53" s="28">
        <f t="shared" si="11"/>
        <v>941.95399601837107</v>
      </c>
      <c r="R53" s="105">
        <f t="shared" si="76"/>
        <v>312.52473852060774</v>
      </c>
      <c r="S53" s="246"/>
      <c r="T53" s="33">
        <f t="shared" si="76"/>
        <v>173914.39112849001</v>
      </c>
      <c r="U53" s="33">
        <f t="shared" si="77"/>
        <v>664942.87472533993</v>
      </c>
      <c r="V53" s="51">
        <f t="shared" si="78"/>
        <v>3.8233919022496088</v>
      </c>
      <c r="W53" s="51">
        <f t="shared" si="79"/>
        <v>470.0023872722881</v>
      </c>
      <c r="X53" s="51"/>
      <c r="Y53" s="88">
        <f t="shared" si="83"/>
        <v>1481.6796349658039</v>
      </c>
      <c r="Z53" s="34">
        <f t="shared" si="35"/>
        <v>387.53014936659059</v>
      </c>
      <c r="AA53" s="51">
        <f t="shared" si="36"/>
        <v>82.472237905697526</v>
      </c>
      <c r="AB53" s="52">
        <f t="shared" si="37"/>
        <v>0.17547195533268345</v>
      </c>
      <c r="AC53" s="59" t="s">
        <v>426</v>
      </c>
      <c r="AD53" s="238">
        <f t="shared" si="84"/>
        <v>470.0023872722881</v>
      </c>
      <c r="AE53" s="88">
        <f t="shared" si="85"/>
        <v>1797.003321534851</v>
      </c>
    </row>
    <row r="54" spans="1:31" ht="15" customHeight="1" thickBot="1">
      <c r="A54" s="59"/>
      <c r="B54" s="49"/>
      <c r="C54" s="140"/>
      <c r="D54" s="140"/>
      <c r="E54" s="140"/>
      <c r="F54" s="48"/>
      <c r="G54" s="140"/>
      <c r="H54" s="204"/>
      <c r="I54" s="204"/>
      <c r="J54" s="140"/>
      <c r="K54" s="140"/>
      <c r="L54" s="140"/>
      <c r="M54" s="140"/>
      <c r="N54" s="140"/>
      <c r="O54" s="28"/>
      <c r="P54" s="28"/>
      <c r="Q54" s="28"/>
      <c r="R54" s="110"/>
      <c r="S54" s="198"/>
      <c r="U54" s="93"/>
      <c r="V54" s="93"/>
      <c r="W54" s="51"/>
      <c r="X54" s="51"/>
      <c r="Y54" s="88"/>
      <c r="Z54" s="51"/>
      <c r="AA54" s="51"/>
      <c r="AB54" s="51"/>
      <c r="AC54" s="59"/>
      <c r="AD54" s="238"/>
      <c r="AE54" s="88"/>
    </row>
    <row r="55" spans="1:31" ht="15" customHeight="1" thickBot="1">
      <c r="A55" s="59" t="s">
        <v>259</v>
      </c>
      <c r="B55" s="48">
        <f>SUM(B45:B53)</f>
        <v>4855.5952156879903</v>
      </c>
      <c r="C55" s="48">
        <f>SUM(C45:C53)</f>
        <v>425.25336914594902</v>
      </c>
      <c r="D55" s="48">
        <f>SUM(D45:D53)</f>
        <v>1258.2598485334117</v>
      </c>
      <c r="E55" s="48">
        <f>SUM(E45:E53)</f>
        <v>6539.1084333673516</v>
      </c>
      <c r="F55" s="90">
        <f t="shared" ref="F55:F57" si="86">100*E55/R55</f>
        <v>72.198984865384801</v>
      </c>
      <c r="G55" s="48">
        <f>SUM(G45:G53)</f>
        <v>1070.336857594714</v>
      </c>
      <c r="H55" s="91">
        <f t="shared" ref="H55" si="87">G55/D55</f>
        <v>0.85064850383826929</v>
      </c>
      <c r="I55" s="92">
        <f t="shared" ref="I55" si="88">100*G55/R55</f>
        <v>11.817701964998603</v>
      </c>
      <c r="J55" s="48">
        <f t="shared" ref="J55:U55" si="89">SUM(J45:J53)</f>
        <v>860.13167221531182</v>
      </c>
      <c r="K55" s="48">
        <f t="shared" si="89"/>
        <v>587.48726779420156</v>
      </c>
      <c r="L55" s="48">
        <f t="shared" si="89"/>
        <v>1447.6189400095136</v>
      </c>
      <c r="M55" s="196">
        <f t="shared" si="7"/>
        <v>6.4865087937129475</v>
      </c>
      <c r="N55" s="196">
        <f t="shared" si="8"/>
        <v>15.983313169616586</v>
      </c>
      <c r="O55" s="28">
        <f t="shared" si="9"/>
        <v>17202.633444306237</v>
      </c>
      <c r="P55" s="28">
        <f t="shared" si="10"/>
        <v>8047.7707917013913</v>
      </c>
      <c r="Q55" s="128">
        <f t="shared" si="11"/>
        <v>25250.404236007627</v>
      </c>
      <c r="R55" s="129">
        <f t="shared" si="89"/>
        <v>9057.0642309715804</v>
      </c>
      <c r="S55" s="159" t="s">
        <v>4</v>
      </c>
      <c r="T55" s="33">
        <f t="shared" si="89"/>
        <v>7931336.2447941415</v>
      </c>
      <c r="U55" s="33">
        <f t="shared" si="89"/>
        <v>38407971.40576952</v>
      </c>
      <c r="V55" s="51">
        <f>U55/T55</f>
        <v>4.8425599697628758</v>
      </c>
      <c r="W55" s="51">
        <f>1000000*R55/U55</f>
        <v>235.81209575705574</v>
      </c>
      <c r="X55" s="51"/>
      <c r="Y55" s="88">
        <f t="shared" si="83"/>
        <v>959.41529347676396</v>
      </c>
      <c r="Z55" s="34">
        <f t="shared" si="35"/>
        <v>198.12151000036937</v>
      </c>
      <c r="AA55" s="51">
        <f t="shared" si="36"/>
        <v>37.69058575668636</v>
      </c>
      <c r="AB55" s="52">
        <f t="shared" si="37"/>
        <v>0.15983313169616584</v>
      </c>
      <c r="AC55" s="59" t="s">
        <v>259</v>
      </c>
      <c r="AD55" s="238">
        <f t="shared" ref="AD55" si="90">1000000*R55/U55</f>
        <v>235.81209575705574</v>
      </c>
      <c r="AE55" s="88">
        <f t="shared" ref="AE55" si="91">1000000*R55/T55</f>
        <v>1141.9342152990082</v>
      </c>
    </row>
    <row r="56" spans="1:31" ht="15" customHeight="1">
      <c r="B56" s="49"/>
      <c r="C56" s="48"/>
      <c r="D56" s="48"/>
      <c r="E56" s="198">
        <f t="shared" ref="E56" si="92">100*E55/$R55</f>
        <v>72.198984865384801</v>
      </c>
      <c r="F56" s="90" t="s">
        <v>428</v>
      </c>
      <c r="G56" s="198">
        <f t="shared" ref="G56" si="93">100*G55/$R55</f>
        <v>11.817701964998603</v>
      </c>
      <c r="H56" s="92"/>
      <c r="I56" s="92"/>
      <c r="J56" s="140">
        <f>100*J55/$R55</f>
        <v>9.4968043759036345</v>
      </c>
      <c r="K56" s="140">
        <f>100*K55/$R55</f>
        <v>6.4865087937129475</v>
      </c>
      <c r="L56" s="198">
        <f>100*L55/$R55</f>
        <v>15.983313169616586</v>
      </c>
      <c r="M56" s="198"/>
      <c r="N56" s="198" t="s">
        <v>122</v>
      </c>
      <c r="O56" s="28"/>
      <c r="P56" s="135" t="s">
        <v>305</v>
      </c>
      <c r="Q56" s="34">
        <f>1000*32.7360902424984</f>
        <v>32736.090242498398</v>
      </c>
      <c r="R56" s="105">
        <f>1000*7.77078986587183</f>
        <v>7770.7898658718295</v>
      </c>
      <c r="S56" s="159" t="s">
        <v>9</v>
      </c>
      <c r="U56" s="93"/>
      <c r="V56" s="93"/>
      <c r="W56" s="93"/>
      <c r="X56" s="93"/>
      <c r="Y56" s="49"/>
      <c r="AD56" s="238"/>
    </row>
    <row r="57" spans="1:31" ht="15" customHeight="1">
      <c r="A57" s="96" t="s">
        <v>123</v>
      </c>
      <c r="B57" s="48">
        <f>B47+B50+B51</f>
        <v>766.06070975054001</v>
      </c>
      <c r="C57" s="48">
        <f t="shared" ref="C57:G57" si="94">C47+C50+C51</f>
        <v>201.10821565997998</v>
      </c>
      <c r="D57" s="48">
        <f t="shared" si="94"/>
        <v>386.24745462571002</v>
      </c>
      <c r="E57" s="48">
        <f t="shared" si="94"/>
        <v>1353.4163800362301</v>
      </c>
      <c r="F57" s="90">
        <f t="shared" si="86"/>
        <v>67.180127851211168</v>
      </c>
      <c r="G57" s="48">
        <f t="shared" si="94"/>
        <v>451.90282981766001</v>
      </c>
      <c r="H57" s="91">
        <f t="shared" ref="H57" si="95">G57/D57</f>
        <v>1.1699826740750248</v>
      </c>
      <c r="I57" s="92">
        <f t="shared" ref="I57" si="96">100*G57/R57</f>
        <v>22.431300766924245</v>
      </c>
      <c r="J57" s="48">
        <f t="shared" ref="J57:U57" si="97">J47+J50+J51</f>
        <v>123.64880963661831</v>
      </c>
      <c r="K57" s="48">
        <f t="shared" si="97"/>
        <v>85.640203693797105</v>
      </c>
      <c r="L57" s="48">
        <f t="shared" si="97"/>
        <v>209.2890133304154</v>
      </c>
      <c r="M57" s="48"/>
      <c r="N57" s="196">
        <f t="shared" ref="N57" si="98">100*L57/R57</f>
        <v>10.388571381864587</v>
      </c>
      <c r="O57" s="28">
        <f t="shared" si="9"/>
        <v>2472.9761927323661</v>
      </c>
      <c r="P57" s="28">
        <f t="shared" si="10"/>
        <v>1173.1534752574946</v>
      </c>
      <c r="Q57" s="28">
        <f t="shared" si="11"/>
        <v>3646.1296679898605</v>
      </c>
      <c r="R57" s="105">
        <f t="shared" si="97"/>
        <v>2014.6082231843054</v>
      </c>
      <c r="S57" s="252" t="s">
        <v>10</v>
      </c>
      <c r="T57" s="33">
        <f t="shared" si="97"/>
        <v>2420168.6649289969</v>
      </c>
      <c r="U57" s="33">
        <f t="shared" si="97"/>
        <v>12256756.802710501</v>
      </c>
      <c r="V57" s="51">
        <f t="shared" ref="V57" si="99">U57/T57</f>
        <v>5.0644225670404222</v>
      </c>
      <c r="W57" s="51">
        <f t="shared" ref="W57" si="100">1000000*R57/U57</f>
        <v>164.36715320473587</v>
      </c>
      <c r="Y57" s="88">
        <f t="shared" ref="Y57" si="101">Z57*V57</f>
        <v>745.94768373585839</v>
      </c>
      <c r="Z57" s="34">
        <f t="shared" ref="Z57" si="102">W57-AA57</f>
        <v>147.29175416572315</v>
      </c>
      <c r="AA57" s="51">
        <f t="shared" ref="AA57" si="103">W57*L57/R57</f>
        <v>17.075399039012712</v>
      </c>
      <c r="AB57" s="52">
        <f t="shared" ref="AB57" si="104">AA57/W57</f>
        <v>0.10388571381864586</v>
      </c>
      <c r="AC57" s="96" t="s">
        <v>123</v>
      </c>
      <c r="AD57" s="238">
        <f t="shared" ref="AD57" si="105">1000000*R57/U57</f>
        <v>164.36715320473587</v>
      </c>
      <c r="AE57" s="88">
        <f t="shared" ref="AE57" si="106">1000000*R57/T57</f>
        <v>832.42471997025473</v>
      </c>
    </row>
    <row r="58" spans="1:31" ht="15" customHeight="1">
      <c r="A58" s="96"/>
      <c r="B58" s="49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34"/>
      <c r="P58" s="34"/>
      <c r="Q58" s="34"/>
      <c r="R58" s="34"/>
      <c r="S58" s="214"/>
      <c r="U58" s="93"/>
      <c r="Y58" s="49"/>
    </row>
    <row r="59" spans="1:31" ht="15" customHeight="1">
      <c r="A59" s="56" t="s">
        <v>89</v>
      </c>
      <c r="B59" s="48">
        <f>B45+B46+B48+B49</f>
        <v>3826.1460822318859</v>
      </c>
      <c r="C59" s="48">
        <f t="shared" ref="C59:E59" si="107">C45+C46+C48+C49</f>
        <v>204.1193872530545</v>
      </c>
      <c r="D59" s="48">
        <f t="shared" si="107"/>
        <v>838.30031832713098</v>
      </c>
      <c r="E59" s="48">
        <f t="shared" si="107"/>
        <v>4868.5657878120719</v>
      </c>
      <c r="F59" s="48"/>
      <c r="G59" s="48">
        <f>G45+G46+G48+G49</f>
        <v>593.33405358681011</v>
      </c>
      <c r="H59" s="48"/>
      <c r="I59" s="48"/>
      <c r="J59" s="48">
        <f>J45+J46+J48+J49</f>
        <v>703.94895018794955</v>
      </c>
      <c r="K59" s="48">
        <f t="shared" ref="K59:L59" si="108">K45+K46+K48+K49</f>
        <v>473.97896428552042</v>
      </c>
      <c r="L59" s="48">
        <f t="shared" si="108"/>
        <v>1177.9279144734699</v>
      </c>
      <c r="M59" s="48"/>
      <c r="N59" s="48"/>
      <c r="O59" s="34"/>
      <c r="P59" s="130" t="s">
        <v>302</v>
      </c>
      <c r="Q59" s="131"/>
      <c r="R59" s="144">
        <f t="shared" ref="R59" si="109">R45+R46+R48+R49</f>
        <v>6639.8277558723512</v>
      </c>
      <c r="S59" s="210" t="s">
        <v>8</v>
      </c>
      <c r="T59" s="32" t="s">
        <v>89</v>
      </c>
      <c r="U59" s="93"/>
      <c r="Y59" s="49"/>
      <c r="AC59" s="32" t="s">
        <v>77</v>
      </c>
    </row>
    <row r="60" spans="1:31" ht="15" customHeight="1" thickBot="1">
      <c r="A60" s="56" t="s">
        <v>90</v>
      </c>
      <c r="B60" s="48">
        <f>B47+B50+B51</f>
        <v>766.06070975054001</v>
      </c>
      <c r="C60" s="48">
        <f t="shared" ref="C60:E60" si="110">C47+C50+C51</f>
        <v>201.10821565997998</v>
      </c>
      <c r="D60" s="48">
        <f t="shared" si="110"/>
        <v>386.24745462571002</v>
      </c>
      <c r="E60" s="48">
        <f t="shared" si="110"/>
        <v>1353.4163800362301</v>
      </c>
      <c r="F60" s="48"/>
      <c r="G60" s="48">
        <f>G47+G50+G51</f>
        <v>451.90282981766001</v>
      </c>
      <c r="H60" s="48"/>
      <c r="I60" s="48"/>
      <c r="J60" s="48">
        <f>J47+J50+J51</f>
        <v>123.64880963661831</v>
      </c>
      <c r="K60" s="48">
        <f t="shared" ref="K60:L60" si="111">K47+K50+K51</f>
        <v>85.640203693797105</v>
      </c>
      <c r="L60" s="48">
        <f t="shared" si="111"/>
        <v>209.2890133304154</v>
      </c>
      <c r="M60" s="48"/>
      <c r="N60" s="48"/>
      <c r="O60" s="34"/>
      <c r="P60" s="130" t="s">
        <v>303</v>
      </c>
      <c r="Q60" s="131"/>
      <c r="R60" s="144">
        <f t="shared" ref="R60" si="112">R47+R50+R51</f>
        <v>2014.6082231843054</v>
      </c>
      <c r="S60" s="210" t="s">
        <v>8</v>
      </c>
      <c r="T60" s="32" t="s">
        <v>90</v>
      </c>
      <c r="U60" s="93"/>
      <c r="Y60" s="49"/>
      <c r="AC60" s="59" t="s">
        <v>274</v>
      </c>
      <c r="AD60" s="51">
        <f>100*AD45/AD$55</f>
        <v>132.09953478151758</v>
      </c>
    </row>
    <row r="61" spans="1:31" ht="15" customHeight="1" thickBot="1">
      <c r="A61" s="56" t="s">
        <v>94</v>
      </c>
      <c r="B61" s="48">
        <f>B52+B53</f>
        <v>263.388423705565</v>
      </c>
      <c r="C61" s="48">
        <f t="shared" ref="C61:E61" si="113">C52+C53</f>
        <v>20.025766232914549</v>
      </c>
      <c r="D61" s="48">
        <f t="shared" si="113"/>
        <v>33.71207558057079</v>
      </c>
      <c r="E61" s="48">
        <f t="shared" si="113"/>
        <v>317.12626551905032</v>
      </c>
      <c r="F61" s="48"/>
      <c r="G61" s="48">
        <f>G52+G53</f>
        <v>25.099974190243941</v>
      </c>
      <c r="H61" s="48"/>
      <c r="I61" s="48"/>
      <c r="J61" s="48">
        <f>J52+J53</f>
        <v>32.53391239074405</v>
      </c>
      <c r="K61" s="48">
        <f t="shared" ref="K61:L61" si="114">K52+K53</f>
        <v>27.868099814884079</v>
      </c>
      <c r="L61" s="48">
        <f t="shared" si="114"/>
        <v>60.402012205628125</v>
      </c>
      <c r="M61" s="48"/>
      <c r="N61" s="48"/>
      <c r="O61" s="34"/>
      <c r="P61" s="130" t="s">
        <v>304</v>
      </c>
      <c r="Q61" s="132">
        <f>100*Q55/R55</f>
        <v>278.79237236345551</v>
      </c>
      <c r="R61" s="144">
        <f t="shared" ref="R61" si="115">R52+R53</f>
        <v>402.62825191492243</v>
      </c>
      <c r="S61" s="210" t="s">
        <v>8</v>
      </c>
      <c r="T61" s="57" t="s">
        <v>94</v>
      </c>
      <c r="AC61" s="59" t="s">
        <v>275</v>
      </c>
      <c r="AD61" s="51">
        <f t="shared" ref="AD61:AD68" si="116">100*AD46/AD$55</f>
        <v>128.91832973187371</v>
      </c>
    </row>
    <row r="62" spans="1:31" ht="15" customHeight="1">
      <c r="B62" s="49"/>
      <c r="C62" s="48"/>
      <c r="D62" s="48"/>
      <c r="E62" s="48"/>
      <c r="F62" s="48"/>
      <c r="G62" s="49"/>
      <c r="H62" s="48"/>
      <c r="I62" s="49"/>
      <c r="J62" s="49"/>
      <c r="K62" s="49"/>
      <c r="L62" s="49"/>
      <c r="M62" s="49"/>
      <c r="N62" s="49"/>
      <c r="O62" s="135"/>
      <c r="P62" s="135" t="s">
        <v>305</v>
      </c>
      <c r="Q62" s="134">
        <f>100*Q56/R56</f>
        <v>421.27107806981769</v>
      </c>
      <c r="R62" s="73"/>
      <c r="S62" s="214"/>
      <c r="AC62" s="59" t="s">
        <v>276</v>
      </c>
      <c r="AD62" s="51">
        <f t="shared" si="116"/>
        <v>60.799545229162845</v>
      </c>
    </row>
    <row r="63" spans="1:31" ht="15">
      <c r="A63" s="56" t="s">
        <v>75</v>
      </c>
      <c r="B63" s="48">
        <f>SUM(B59:B61)</f>
        <v>4855.5952156879912</v>
      </c>
      <c r="C63" s="48">
        <f t="shared" ref="C63:E63" si="117">SUM(C59:C61)</f>
        <v>425.25336914594902</v>
      </c>
      <c r="D63" s="48">
        <f t="shared" si="117"/>
        <v>1258.259848533412</v>
      </c>
      <c r="E63" s="48">
        <f t="shared" si="117"/>
        <v>6539.1084333673525</v>
      </c>
      <c r="F63" s="90">
        <f t="shared" ref="F63" si="118">100*E63/R63</f>
        <v>72.19898486538483</v>
      </c>
      <c r="G63" s="48">
        <f>SUM(G59:G61)</f>
        <v>1070.336857594714</v>
      </c>
      <c r="H63" s="91">
        <f t="shared" ref="H63" si="119">G63/D63</f>
        <v>0.85064850383826918</v>
      </c>
      <c r="I63" s="92">
        <f t="shared" ref="I63" si="120">100*G63/R63</f>
        <v>11.817701964998605</v>
      </c>
      <c r="J63" s="48">
        <f>SUM(J59:J61)</f>
        <v>860.13167221531194</v>
      </c>
      <c r="K63" s="48">
        <f t="shared" ref="K63:L63" si="121">SUM(K59:K61)</f>
        <v>587.48726779420167</v>
      </c>
      <c r="L63" s="48">
        <f t="shared" si="121"/>
        <v>1447.6189400095134</v>
      </c>
      <c r="M63" s="49"/>
      <c r="N63" s="49"/>
      <c r="R63" s="144">
        <f t="shared" ref="R63" si="122">SUM(R59:R61)</f>
        <v>9057.0642309715786</v>
      </c>
      <c r="S63" s="214"/>
      <c r="T63" s="32" t="s">
        <v>76</v>
      </c>
      <c r="AC63" s="59" t="s">
        <v>277</v>
      </c>
      <c r="AD63" s="51">
        <f t="shared" si="116"/>
        <v>93.961129277671333</v>
      </c>
    </row>
    <row r="64" spans="1:31" ht="15"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AC64" s="59" t="s">
        <v>278</v>
      </c>
      <c r="AD64" s="51">
        <f t="shared" si="116"/>
        <v>96.729787481845449</v>
      </c>
    </row>
    <row r="65" spans="2:30" ht="15"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AC65" s="59" t="s">
        <v>423</v>
      </c>
      <c r="AD65" s="51">
        <f t="shared" si="116"/>
        <v>74.35743219850508</v>
      </c>
    </row>
    <row r="66" spans="2:30" ht="15"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AC66" s="59" t="s">
        <v>424</v>
      </c>
      <c r="AD66" s="51">
        <f t="shared" si="116"/>
        <v>85.270142185730876</v>
      </c>
    </row>
    <row r="67" spans="2:30" ht="15"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AC67" s="59" t="s">
        <v>425</v>
      </c>
      <c r="AD67" s="51">
        <f t="shared" si="116"/>
        <v>124.24135657626228</v>
      </c>
    </row>
    <row r="68" spans="2:30" ht="15"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AC68" s="59" t="s">
        <v>426</v>
      </c>
      <c r="AD68" s="51">
        <f t="shared" si="116"/>
        <v>199.31224722098469</v>
      </c>
    </row>
    <row r="69" spans="2:30"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</row>
    <row r="70" spans="2:30"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</row>
  </sheetData>
  <phoneticPr fontId="51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J68"/>
  <sheetViews>
    <sheetView tabSelected="1" workbookViewId="0">
      <selection activeCell="J1" sqref="J1"/>
    </sheetView>
  </sheetViews>
  <sheetFormatPr baseColWidth="10" defaultColWidth="10.83203125" defaultRowHeight="14"/>
  <cols>
    <col min="1" max="1" width="15.33203125" style="32" customWidth="1"/>
    <col min="2" max="2" width="3.1640625" style="32" customWidth="1"/>
    <col min="3" max="3" width="11" style="32" customWidth="1"/>
    <col min="4" max="4" width="9.5" style="32" customWidth="1"/>
    <col min="5" max="5" width="9.33203125" style="32" customWidth="1"/>
    <col min="6" max="11" width="9.5" style="32" customWidth="1"/>
    <col min="12" max="12" width="4.33203125" style="32" customWidth="1"/>
    <col min="13" max="16" width="8.6640625" style="33" customWidth="1"/>
    <col min="17" max="17" width="5.5" style="32" customWidth="1"/>
    <col min="18" max="19" width="10.83203125" style="32"/>
    <col min="20" max="21" width="10" style="32" customWidth="1"/>
    <col min="22" max="22" width="22.83203125" style="32" customWidth="1"/>
    <col min="23" max="16384" width="10.83203125" style="32"/>
  </cols>
  <sheetData>
    <row r="1" spans="1:36" ht="20">
      <c r="A1" s="178" t="s">
        <v>388</v>
      </c>
      <c r="B1" s="31"/>
      <c r="C1" s="72" t="s">
        <v>107</v>
      </c>
      <c r="M1" s="33" t="s">
        <v>36</v>
      </c>
      <c r="Q1" s="73"/>
      <c r="R1" s="65" t="s">
        <v>18</v>
      </c>
      <c r="AF1" s="121" t="s">
        <v>37</v>
      </c>
      <c r="AG1" s="120" t="s">
        <v>38</v>
      </c>
      <c r="AH1" s="115"/>
      <c r="AI1" s="115"/>
    </row>
    <row r="2" spans="1:36" ht="15">
      <c r="A2" s="179" t="s">
        <v>389</v>
      </c>
      <c r="B2" s="31"/>
      <c r="C2" s="34" t="s">
        <v>108</v>
      </c>
      <c r="M2" s="114">
        <v>1860</v>
      </c>
      <c r="N2" s="114">
        <v>1870</v>
      </c>
      <c r="Q2" s="73"/>
      <c r="R2" s="76" t="s">
        <v>13</v>
      </c>
      <c r="AF2" s="115"/>
      <c r="AG2" s="116" t="s">
        <v>129</v>
      </c>
      <c r="AH2" s="117"/>
      <c r="AI2" s="117"/>
    </row>
    <row r="3" spans="1:36" ht="15">
      <c r="A3" s="180" t="s">
        <v>199</v>
      </c>
      <c r="B3" s="31"/>
      <c r="L3" s="56" t="s">
        <v>33</v>
      </c>
      <c r="M3" s="34">
        <f>100*O41/O61</f>
        <v>26.140358398724313</v>
      </c>
      <c r="N3" s="34">
        <f>100*P41/P61</f>
        <v>42.696450765864853</v>
      </c>
      <c r="Q3" s="73"/>
      <c r="R3" s="77" t="s">
        <v>200</v>
      </c>
      <c r="AF3" s="115"/>
      <c r="AG3" s="118" t="s">
        <v>41</v>
      </c>
      <c r="AH3" s="118" t="s">
        <v>42</v>
      </c>
      <c r="AI3" s="118" t="s">
        <v>43</v>
      </c>
      <c r="AJ3" s="124" t="s">
        <v>131</v>
      </c>
    </row>
    <row r="4" spans="1:36" ht="15">
      <c r="A4" s="177" t="s">
        <v>385</v>
      </c>
      <c r="B4" s="31"/>
      <c r="C4" s="59" t="s">
        <v>219</v>
      </c>
      <c r="L4" s="56" t="s">
        <v>90</v>
      </c>
      <c r="M4" s="34">
        <f>100*O43/O62</f>
        <v>30.059230415882311</v>
      </c>
      <c r="N4" s="34">
        <f>100*P42/P62</f>
        <v>55.314455964869886</v>
      </c>
      <c r="Q4" s="73"/>
      <c r="R4" s="77" t="s">
        <v>68</v>
      </c>
      <c r="AF4" s="115" t="s">
        <v>51</v>
      </c>
      <c r="AG4" s="122">
        <v>145.61079592358831</v>
      </c>
      <c r="AH4" s="119">
        <v>31.563239000762803</v>
      </c>
      <c r="AI4" s="119">
        <v>106.79109804406302</v>
      </c>
      <c r="AJ4" s="123">
        <f>AH4/AG4</f>
        <v>0.21676441503229016</v>
      </c>
    </row>
    <row r="5" spans="1:36" ht="15">
      <c r="A5" s="177" t="s">
        <v>386</v>
      </c>
      <c r="B5" s="31"/>
      <c r="C5" s="224" t="s">
        <v>105</v>
      </c>
      <c r="D5" s="73"/>
      <c r="E5" s="73"/>
      <c r="F5" s="73"/>
      <c r="G5" s="73"/>
      <c r="H5" s="73"/>
      <c r="I5" s="73"/>
      <c r="J5" s="73"/>
      <c r="Q5" s="73"/>
      <c r="R5" s="77"/>
      <c r="Z5" s="147" t="s">
        <v>203</v>
      </c>
      <c r="AF5" s="115" t="s">
        <v>39</v>
      </c>
      <c r="AG5" s="119">
        <v>197.9706313480788</v>
      </c>
      <c r="AH5" s="119">
        <v>43.456931515224987</v>
      </c>
      <c r="AI5" s="119">
        <v>144.57100502567681</v>
      </c>
      <c r="AJ5" s="123">
        <f>AH5/AG5</f>
        <v>0.21951201155093308</v>
      </c>
    </row>
    <row r="6" spans="1:36" ht="18">
      <c r="A6" s="177" t="s">
        <v>387</v>
      </c>
      <c r="B6" s="31"/>
      <c r="C6" s="225" t="s">
        <v>104</v>
      </c>
      <c r="D6" s="73"/>
      <c r="E6" s="73"/>
      <c r="F6" s="73"/>
      <c r="G6" s="73"/>
      <c r="H6" s="73"/>
      <c r="I6" s="73"/>
      <c r="J6" s="73"/>
      <c r="M6" s="63" t="s">
        <v>254</v>
      </c>
      <c r="Q6" s="73"/>
      <c r="R6" s="63" t="s">
        <v>106</v>
      </c>
      <c r="W6" s="62" t="s">
        <v>21</v>
      </c>
      <c r="Z6" s="26" t="s">
        <v>17</v>
      </c>
      <c r="AF6" s="115" t="s">
        <v>40</v>
      </c>
      <c r="AG6" s="119">
        <v>188.78887365967523</v>
      </c>
      <c r="AH6" s="119">
        <v>83.656494439484774</v>
      </c>
      <c r="AI6" s="119">
        <v>153.75840672677316</v>
      </c>
      <c r="AJ6" s="123">
        <f>AH6/AG6</f>
        <v>0.4431219532051987</v>
      </c>
    </row>
    <row r="7" spans="1:36" ht="18">
      <c r="C7" s="215" t="s">
        <v>311</v>
      </c>
      <c r="N7" s="60"/>
      <c r="O7" s="60"/>
      <c r="P7" s="60"/>
      <c r="Q7" s="74"/>
      <c r="S7" s="61"/>
      <c r="T7" s="61"/>
      <c r="U7" s="61"/>
      <c r="V7" s="61"/>
      <c r="W7" s="216" t="s">
        <v>309</v>
      </c>
      <c r="Z7" s="26" t="s">
        <v>20</v>
      </c>
      <c r="AF7" s="115"/>
      <c r="AG7" s="119"/>
      <c r="AH7" s="119"/>
      <c r="AI7" s="119"/>
      <c r="AJ7" s="123"/>
    </row>
    <row r="8" spans="1:36" ht="15">
      <c r="C8" s="37" t="s">
        <v>110</v>
      </c>
      <c r="F8" s="38" t="s">
        <v>111</v>
      </c>
      <c r="H8" s="39" t="s">
        <v>216</v>
      </c>
      <c r="J8" s="32" t="s">
        <v>217</v>
      </c>
      <c r="M8" s="33" t="s">
        <v>218</v>
      </c>
      <c r="Q8" s="73"/>
      <c r="R8" s="33" t="s">
        <v>46</v>
      </c>
      <c r="S8" s="33"/>
      <c r="T8" s="88"/>
      <c r="U8" s="88"/>
      <c r="W8" s="215" t="s">
        <v>310</v>
      </c>
      <c r="AF8" s="115" t="s">
        <v>52</v>
      </c>
      <c r="AG8" s="122">
        <v>146.44813543377066</v>
      </c>
      <c r="AH8" s="119">
        <v>31.475062208060798</v>
      </c>
      <c r="AI8" s="119">
        <v>130.9390276609461</v>
      </c>
      <c r="AJ8" s="123">
        <f>AH8/AG8</f>
        <v>0.21492292895934481</v>
      </c>
    </row>
    <row r="9" spans="1:36" ht="15">
      <c r="C9" s="40" t="s">
        <v>363</v>
      </c>
      <c r="F9" s="38" t="s">
        <v>222</v>
      </c>
      <c r="H9" s="41" t="s">
        <v>223</v>
      </c>
      <c r="J9" s="32" t="s">
        <v>224</v>
      </c>
      <c r="M9" s="33" t="s">
        <v>116</v>
      </c>
      <c r="O9" s="33" t="s">
        <v>117</v>
      </c>
      <c r="Q9" s="73"/>
      <c r="R9" s="33" t="s">
        <v>116</v>
      </c>
      <c r="S9" s="33"/>
      <c r="T9" s="88" t="s">
        <v>117</v>
      </c>
      <c r="U9" s="88"/>
      <c r="W9" s="42" t="s">
        <v>118</v>
      </c>
      <c r="AF9" s="115" t="s">
        <v>44</v>
      </c>
      <c r="AG9" s="119">
        <v>185.60264825892006</v>
      </c>
      <c r="AH9" s="119">
        <v>43.643081502097665</v>
      </c>
      <c r="AI9" s="119">
        <v>167.74240062529483</v>
      </c>
      <c r="AJ9" s="123">
        <f>AH9/AG9</f>
        <v>0.23514255810194334</v>
      </c>
    </row>
    <row r="10" spans="1:36" ht="15">
      <c r="C10" s="43">
        <v>1860</v>
      </c>
      <c r="D10" s="44">
        <v>1870</v>
      </c>
      <c r="F10" s="43">
        <v>1860</v>
      </c>
      <c r="G10" s="44">
        <v>1870</v>
      </c>
      <c r="H10" s="43">
        <v>1860</v>
      </c>
      <c r="I10" s="44">
        <v>1870</v>
      </c>
      <c r="J10" s="43">
        <v>1860</v>
      </c>
      <c r="K10" s="44">
        <v>1870</v>
      </c>
      <c r="M10" s="43">
        <v>1860</v>
      </c>
      <c r="N10" s="44">
        <v>1870</v>
      </c>
      <c r="O10" s="43">
        <v>1860</v>
      </c>
      <c r="P10" s="44">
        <v>1870</v>
      </c>
      <c r="Q10" s="73"/>
      <c r="R10" s="43">
        <v>1860</v>
      </c>
      <c r="S10" s="44">
        <v>1870</v>
      </c>
      <c r="T10" s="190">
        <v>1860</v>
      </c>
      <c r="U10" s="191">
        <v>1870</v>
      </c>
      <c r="W10" s="45" t="s">
        <v>416</v>
      </c>
      <c r="X10" s="46" t="s">
        <v>417</v>
      </c>
      <c r="AF10" s="115" t="s">
        <v>45</v>
      </c>
      <c r="AG10" s="119">
        <v>245.40901167124707</v>
      </c>
      <c r="AH10" s="119">
        <v>94.37531779601143</v>
      </c>
      <c r="AI10" s="119">
        <v>227.41283763692977</v>
      </c>
      <c r="AJ10" s="123">
        <f>AH10/AG10</f>
        <v>0.38456337505012966</v>
      </c>
    </row>
    <row r="11" spans="1:36" ht="15">
      <c r="A11" s="49" t="s">
        <v>274</v>
      </c>
      <c r="B11" s="49"/>
      <c r="C11" s="47">
        <f>'Regional Income 1860 by type'!K8</f>
        <v>589.93511729806949</v>
      </c>
      <c r="D11" s="48">
        <f>'Regional Income 1870 by type'!R9</f>
        <v>1076.9231958565201</v>
      </c>
      <c r="E11" s="49"/>
      <c r="F11" s="50">
        <f>'Regional Income 1860 by type'!N8</f>
        <v>0.66734580999996573</v>
      </c>
      <c r="G11" s="50">
        <f>'Regional Income 1870 by type'!T9/1000000</f>
        <v>0.77410741418460005</v>
      </c>
      <c r="H11" s="50">
        <f>'Regional Income 1860 by type'!O8</f>
        <v>3.1177708000002169</v>
      </c>
      <c r="I11" s="50">
        <f>'Regional Income 1870 by type'!U9/1000000</f>
        <v>3.4480280717319998</v>
      </c>
      <c r="J11" s="89">
        <f>H11/F11</f>
        <v>4.6718968685820883</v>
      </c>
      <c r="K11" s="89">
        <f>I11/G11</f>
        <v>4.4541984853147971</v>
      </c>
      <c r="L11" s="49"/>
      <c r="M11" s="88">
        <f>C11/F11</f>
        <v>884.00212971757446</v>
      </c>
      <c r="N11" s="33">
        <f>D11/G11</f>
        <v>1391.1805727773435</v>
      </c>
      <c r="O11" s="33">
        <f>C11/H11</f>
        <v>189.21696145785586</v>
      </c>
      <c r="P11" s="33">
        <f>D11/I11</f>
        <v>312.3301705938735</v>
      </c>
      <c r="Q11" s="73"/>
      <c r="R11" s="33">
        <f>100*M11/106</f>
        <v>833.96427331846644</v>
      </c>
      <c r="S11" s="33">
        <f>100*N11*(90/130)/106</f>
        <v>908.60850181393994</v>
      </c>
      <c r="T11" s="214">
        <f>100*O11/106</f>
        <v>178.50656741307156</v>
      </c>
      <c r="U11" s="214">
        <f>100*P11*(90/130)/106</f>
        <v>203.98922607727587</v>
      </c>
      <c r="V11" s="49" t="s">
        <v>274</v>
      </c>
      <c r="W11" s="75">
        <f t="shared" ref="W11:W19" si="0">S11/R11</f>
        <v>1.0895053072219187</v>
      </c>
      <c r="X11" s="75">
        <f t="shared" ref="X11:X19" si="1">U11/T11</f>
        <v>1.1427547402513005</v>
      </c>
      <c r="AF11" s="115"/>
      <c r="AG11" s="115"/>
      <c r="AH11" s="115"/>
      <c r="AI11" s="115"/>
    </row>
    <row r="12" spans="1:36" ht="15">
      <c r="A12" s="49" t="s">
        <v>418</v>
      </c>
      <c r="B12" s="49"/>
      <c r="C12" s="47">
        <f>'Regional Income 1860 by type'!K9</f>
        <v>1452.6283908695291</v>
      </c>
      <c r="D12" s="48">
        <f>'Regional Income 1870 by type'!R10</f>
        <v>2648.1637847598004</v>
      </c>
      <c r="E12" s="49"/>
      <c r="F12" s="50">
        <f>'Regional Income 1860 by type'!N9</f>
        <v>1.498550559999952</v>
      </c>
      <c r="G12" s="50">
        <f>'Regional Income 1870 by type'!T10/1000000</f>
        <v>1.8418164937519999</v>
      </c>
      <c r="H12" s="50">
        <f>'Regional Income 1860 by type'!O9</f>
        <v>7.4328767899973549</v>
      </c>
      <c r="I12" s="50">
        <f>'Regional Income 1870 by type'!U10/1000000</f>
        <v>8.6298820973209995</v>
      </c>
      <c r="J12" s="89">
        <f t="shared" ref="J12:K21" si="2">H12/F12</f>
        <v>4.9600440508310868</v>
      </c>
      <c r="K12" s="89">
        <f t="shared" si="2"/>
        <v>4.6855276443642335</v>
      </c>
      <c r="L12" s="49"/>
      <c r="M12" s="88">
        <f t="shared" ref="M12:N61" si="3">C12/F12</f>
        <v>969.3556091090951</v>
      </c>
      <c r="N12" s="33">
        <f t="shared" si="3"/>
        <v>1437.8000163117092</v>
      </c>
      <c r="O12" s="33">
        <f t="shared" ref="O12:P21" si="4">C12/H12</f>
        <v>195.43286292924628</v>
      </c>
      <c r="P12" s="33">
        <f t="shared" si="4"/>
        <v>306.85978729441484</v>
      </c>
      <c r="Q12" s="73"/>
      <c r="R12" s="33">
        <f t="shared" ref="R12:T22" si="5">100*M12/106</f>
        <v>914.48642368782555</v>
      </c>
      <c r="S12" s="33">
        <f t="shared" ref="S12:U22" si="6">100*N12*(90/130)/106</f>
        <v>939.05661442709595</v>
      </c>
      <c r="T12" s="214">
        <f t="shared" si="5"/>
        <v>184.37062540494932</v>
      </c>
      <c r="U12" s="214">
        <f t="shared" si="6"/>
        <v>200.41640679606195</v>
      </c>
      <c r="V12" s="49" t="s">
        <v>418</v>
      </c>
      <c r="W12" s="75">
        <f t="shared" si="0"/>
        <v>1.0268677479542965</v>
      </c>
      <c r="X12" s="75">
        <f t="shared" si="1"/>
        <v>1.087030031795303</v>
      </c>
      <c r="AF12" s="115" t="s">
        <v>130</v>
      </c>
      <c r="AG12" s="115"/>
      <c r="AH12" s="115"/>
      <c r="AI12" s="115"/>
    </row>
    <row r="13" spans="1:36" ht="15">
      <c r="A13" s="49" t="s">
        <v>260</v>
      </c>
      <c r="B13" s="49"/>
      <c r="C13" s="47">
        <f>'Regional Income 1860 by type'!K10</f>
        <v>656.86245119433079</v>
      </c>
      <c r="D13" s="48">
        <f>'Regional Income 1870 by type'!R11</f>
        <v>693.20367164153004</v>
      </c>
      <c r="E13" s="244" t="s">
        <v>12</v>
      </c>
      <c r="F13" s="50">
        <f>'Regional Income 1860 by type'!N10</f>
        <v>0.66719432999997774</v>
      </c>
      <c r="G13" s="50">
        <f>'Regional Income 1870 by type'!T11/1000000</f>
        <v>0.72838787294009999</v>
      </c>
      <c r="H13" s="50">
        <f>'Regional Income 1860 by type'!O10</f>
        <v>3.5001147500000118</v>
      </c>
      <c r="I13" s="50">
        <f>'Regional Income 1870 by type'!U11/1000000</f>
        <v>3.8012648460690004</v>
      </c>
      <c r="J13" s="89">
        <f t="shared" si="2"/>
        <v>5.2460199264585006</v>
      </c>
      <c r="K13" s="89">
        <f t="shared" si="2"/>
        <v>5.2187371416898953</v>
      </c>
      <c r="L13" s="49"/>
      <c r="M13" s="88">
        <f t="shared" si="3"/>
        <v>984.51443853600006</v>
      </c>
      <c r="N13" s="33">
        <f t="shared" si="3"/>
        <v>951.6957892825003</v>
      </c>
      <c r="O13" s="33">
        <f t="shared" si="4"/>
        <v>187.66883319877687</v>
      </c>
      <c r="P13" s="33">
        <f t="shared" si="4"/>
        <v>182.36131911681773</v>
      </c>
      <c r="Q13" s="73"/>
      <c r="R13" s="33">
        <f t="shared" si="5"/>
        <v>928.78720616603778</v>
      </c>
      <c r="S13" s="33">
        <f t="shared" si="6"/>
        <v>621.57199590293931</v>
      </c>
      <c r="T13" s="214">
        <f t="shared" si="5"/>
        <v>177.04606905544989</v>
      </c>
      <c r="U13" s="214">
        <f t="shared" si="6"/>
        <v>119.10390943768937</v>
      </c>
      <c r="V13" s="49" t="s">
        <v>260</v>
      </c>
      <c r="W13" s="75">
        <f t="shared" si="0"/>
        <v>0.66922971351935467</v>
      </c>
      <c r="X13" s="75">
        <f t="shared" si="1"/>
        <v>0.67272834733419951</v>
      </c>
      <c r="AF13" s="115" t="s">
        <v>128</v>
      </c>
      <c r="AG13" s="115"/>
      <c r="AH13" s="115"/>
      <c r="AI13" s="115"/>
    </row>
    <row r="14" spans="1:36" ht="15">
      <c r="A14" s="49" t="s">
        <v>435</v>
      </c>
      <c r="B14" s="49"/>
      <c r="C14" s="47">
        <f>'Regional Income 1860 by type'!K12</f>
        <v>1000.2114287580075</v>
      </c>
      <c r="D14" s="48">
        <f>'Regional Income 1870 by type'!R12</f>
        <v>1996.6090374970499</v>
      </c>
      <c r="E14" s="49"/>
      <c r="F14" s="50">
        <f>'Regional Income 1860 by type'!N12</f>
        <v>1.3182299799999995</v>
      </c>
      <c r="G14" s="50">
        <f>'Regional Income 1870 by type'!T12/1000000</f>
        <v>1.797913669655</v>
      </c>
      <c r="H14" s="50">
        <f>'Regional Income 1860 by type'!O12</f>
        <v>6.8962973600018547</v>
      </c>
      <c r="I14" s="50">
        <f>'Regional Income 1870 by type'!U12/1000000</f>
        <v>8.9560289181900004</v>
      </c>
      <c r="J14" s="89">
        <f t="shared" si="2"/>
        <v>5.2314827189727984</v>
      </c>
      <c r="K14" s="89">
        <f t="shared" si="2"/>
        <v>4.9813453612088976</v>
      </c>
      <c r="L14" s="49"/>
      <c r="M14" s="88">
        <f t="shared" si="3"/>
        <v>758.7533616539414</v>
      </c>
      <c r="N14" s="33">
        <f t="shared" si="3"/>
        <v>1110.5144096713927</v>
      </c>
      <c r="O14" s="33">
        <f t="shared" si="4"/>
        <v>145.03600650389276</v>
      </c>
      <c r="P14" s="33">
        <f t="shared" si="4"/>
        <v>222.93463495209008</v>
      </c>
      <c r="Q14" s="73"/>
      <c r="R14" s="33">
        <f t="shared" si="5"/>
        <v>715.80505816409561</v>
      </c>
      <c r="S14" s="33">
        <f t="shared" si="6"/>
        <v>725.2996870132464</v>
      </c>
      <c r="T14" s="214">
        <f t="shared" si="5"/>
        <v>136.8264212300875</v>
      </c>
      <c r="U14" s="214">
        <f t="shared" si="6"/>
        <v>145.60317231994273</v>
      </c>
      <c r="V14" s="49" t="s">
        <v>435</v>
      </c>
      <c r="W14" s="75">
        <f t="shared" si="0"/>
        <v>1.0132642662144673</v>
      </c>
      <c r="X14" s="75">
        <f t="shared" si="1"/>
        <v>1.0641451483635329</v>
      </c>
      <c r="AF14" s="115" t="s">
        <v>125</v>
      </c>
      <c r="AG14" s="115"/>
      <c r="AH14" s="115"/>
      <c r="AI14" s="115"/>
    </row>
    <row r="15" spans="1:36" ht="15">
      <c r="A15" s="181" t="s">
        <v>261</v>
      </c>
      <c r="B15" s="181"/>
      <c r="C15" s="47">
        <f>'Regional Income 1860 by type'!K13</f>
        <v>310.53529348439008</v>
      </c>
      <c r="D15" s="48">
        <f>'Regional Income 1870 by type'!R13</f>
        <v>862.62170345371987</v>
      </c>
      <c r="E15" s="49"/>
      <c r="F15" s="50">
        <f>'Regional Income 1860 by type'!N13</f>
        <v>0.3861530600000036</v>
      </c>
      <c r="G15" s="50">
        <f>'Regional Income 1870 by type'!T13/1000000</f>
        <v>0.73973306082919998</v>
      </c>
      <c r="H15" s="50">
        <f>'Regional Income 1860 by type'!O13</f>
        <v>2.0287468799997854</v>
      </c>
      <c r="I15" s="50">
        <f>'Regional Income 1870 by type'!U13/1000000</f>
        <v>3.7180544792559997</v>
      </c>
      <c r="J15" s="89">
        <f t="shared" si="2"/>
        <v>5.2537376759354606</v>
      </c>
      <c r="K15" s="89">
        <f t="shared" si="2"/>
        <v>5.0262110430595941</v>
      </c>
      <c r="L15" s="49"/>
      <c r="M15" s="88">
        <f t="shared" si="3"/>
        <v>804.17669999659506</v>
      </c>
      <c r="N15" s="33">
        <f t="shared" si="3"/>
        <v>1166.1256595544999</v>
      </c>
      <c r="O15" s="33">
        <f t="shared" si="4"/>
        <v>153.06753964517392</v>
      </c>
      <c r="P15" s="33">
        <f t="shared" si="4"/>
        <v>232.00889289452653</v>
      </c>
      <c r="Q15" s="73"/>
      <c r="R15" s="33">
        <f t="shared" si="5"/>
        <v>758.65726414773121</v>
      </c>
      <c r="S15" s="33">
        <f t="shared" si="6"/>
        <v>761.62053236505801</v>
      </c>
      <c r="T15" s="214">
        <f t="shared" si="5"/>
        <v>144.40333928789994</v>
      </c>
      <c r="U15" s="214">
        <f t="shared" si="6"/>
        <v>151.52975588176622</v>
      </c>
      <c r="V15" s="181" t="s">
        <v>261</v>
      </c>
      <c r="W15" s="75">
        <f t="shared" si="0"/>
        <v>1.0039059379740543</v>
      </c>
      <c r="X15" s="75">
        <f t="shared" si="1"/>
        <v>1.0493507742203814</v>
      </c>
      <c r="AF15" s="115" t="s">
        <v>126</v>
      </c>
      <c r="AG15" s="115"/>
      <c r="AH15" s="115"/>
      <c r="AI15" s="115"/>
    </row>
    <row r="16" spans="1:36" ht="15">
      <c r="A16" s="49" t="s">
        <v>262</v>
      </c>
      <c r="B16" s="49"/>
      <c r="C16" s="47">
        <f>'Regional Income 1860 by type'!K14</f>
        <v>502.82549778926023</v>
      </c>
      <c r="D16" s="48">
        <f>'Regional Income 1870 by type'!R14</f>
        <v>632.35455331383002</v>
      </c>
      <c r="E16" s="244" t="s">
        <v>12</v>
      </c>
      <c r="F16" s="50">
        <f>'Regional Income 1860 by type'!N14</f>
        <v>0.48454365999999083</v>
      </c>
      <c r="G16" s="50">
        <f>'Regional Income 1870 by type'!T14/1000000</f>
        <v>0.56059133999999811</v>
      </c>
      <c r="H16" s="50">
        <f>'Regional Income 1860 by type'!O14</f>
        <v>2.6395764500004324</v>
      </c>
      <c r="I16" s="50">
        <f>'Regional Income 1870 by type'!U14/1000000</f>
        <v>3.0338993985210001</v>
      </c>
      <c r="J16" s="89">
        <f t="shared" si="2"/>
        <v>5.4475513104443101</v>
      </c>
      <c r="K16" s="89">
        <f t="shared" si="2"/>
        <v>5.4119626580763986</v>
      </c>
      <c r="L16" s="49"/>
      <c r="M16" s="88">
        <f t="shared" si="3"/>
        <v>1037.7300113456645</v>
      </c>
      <c r="N16" s="33">
        <f t="shared" si="3"/>
        <v>1128.0134176061874</v>
      </c>
      <c r="O16" s="33">
        <f t="shared" si="4"/>
        <v>190.49476585123264</v>
      </c>
      <c r="P16" s="33">
        <f t="shared" si="4"/>
        <v>208.42963798407337</v>
      </c>
      <c r="Q16" s="73"/>
      <c r="R16" s="33">
        <f t="shared" si="5"/>
        <v>978.99057674119297</v>
      </c>
      <c r="S16" s="33">
        <f t="shared" si="6"/>
        <v>736.72864720287998</v>
      </c>
      <c r="T16" s="214">
        <f t="shared" si="5"/>
        <v>179.71204325587988</v>
      </c>
      <c r="U16" s="214">
        <f t="shared" si="6"/>
        <v>136.12966196347318</v>
      </c>
      <c r="V16" s="49" t="s">
        <v>262</v>
      </c>
      <c r="W16" s="75">
        <f t="shared" si="0"/>
        <v>0.75253905880816496</v>
      </c>
      <c r="X16" s="75">
        <f t="shared" si="1"/>
        <v>0.75748769808179928</v>
      </c>
      <c r="AF16" s="115" t="s">
        <v>78</v>
      </c>
      <c r="AG16" s="115"/>
      <c r="AH16" s="115"/>
      <c r="AI16" s="115"/>
    </row>
    <row r="17" spans="1:35">
      <c r="A17" s="49" t="s">
        <v>424</v>
      </c>
      <c r="B17" s="49"/>
      <c r="C17" s="47">
        <f>'Regional Income 1860 by type'!K15</f>
        <v>276.33983342753982</v>
      </c>
      <c r="D17" s="48">
        <f>'Regional Income 1870 by type'!R15</f>
        <v>319.44852778686004</v>
      </c>
      <c r="E17" s="244" t="s">
        <v>12</v>
      </c>
      <c r="F17" s="50">
        <f>'Regional Income 1860 by type'!N15</f>
        <v>0.21436752000000073</v>
      </c>
      <c r="G17" s="50">
        <f>'Regional Income 1870 by type'!T15/1000000</f>
        <v>0.26006582032780001</v>
      </c>
      <c r="H17" s="50">
        <f>'Regional Income 1860 by type'!O15</f>
        <v>1.1140502899999458</v>
      </c>
      <c r="I17" s="50">
        <f>'Regional Income 1870 by type'!U15/1000000</f>
        <v>1.337599433769</v>
      </c>
      <c r="J17" s="89">
        <f t="shared" si="2"/>
        <v>5.1969173781547786</v>
      </c>
      <c r="K17" s="89">
        <f t="shared" si="2"/>
        <v>5.143311151319395</v>
      </c>
      <c r="L17" s="49"/>
      <c r="M17" s="88">
        <f t="shared" si="3"/>
        <v>1289.0937648928293</v>
      </c>
      <c r="N17" s="33">
        <f t="shared" si="3"/>
        <v>1228.3372239543478</v>
      </c>
      <c r="O17" s="33">
        <f t="shared" si="4"/>
        <v>248.04969390345317</v>
      </c>
      <c r="P17" s="33">
        <f t="shared" si="4"/>
        <v>238.8222660103398</v>
      </c>
      <c r="Q17" s="73"/>
      <c r="R17" s="33">
        <f t="shared" si="5"/>
        <v>1216.126193295122</v>
      </c>
      <c r="S17" s="33">
        <f t="shared" si="6"/>
        <v>802.25217819950137</v>
      </c>
      <c r="T17" s="214">
        <f t="shared" si="5"/>
        <v>234.00914519193697</v>
      </c>
      <c r="U17" s="214">
        <f t="shared" si="6"/>
        <v>155.97970929557755</v>
      </c>
      <c r="V17" s="49" t="s">
        <v>424</v>
      </c>
      <c r="W17" s="75">
        <f t="shared" si="0"/>
        <v>0.6596783973756708</v>
      </c>
      <c r="X17" s="75">
        <f t="shared" si="1"/>
        <v>0.66655390398371495</v>
      </c>
      <c r="AI17" s="125" t="s">
        <v>63</v>
      </c>
    </row>
    <row r="18" spans="1:35">
      <c r="A18" s="49" t="s">
        <v>263</v>
      </c>
      <c r="B18" s="49"/>
      <c r="C18" s="47">
        <f>'Regional Income 1860 by type'!K16</f>
        <v>42.159181333250999</v>
      </c>
      <c r="D18" s="48">
        <f>'Regional Income 1870 by type'!R16</f>
        <v>84.739454889675983</v>
      </c>
      <c r="E18" s="49"/>
      <c r="F18" s="50">
        <f>'Regional Income 1860 by type'!N16</f>
        <v>4.2000000000000003E-2</v>
      </c>
      <c r="G18" s="50">
        <f>'Regional Income 1870 by type'!T16/1000000</f>
        <v>8.1110050178529999E-2</v>
      </c>
      <c r="H18" s="50">
        <f>'Regional Income 1860 by type'!O16</f>
        <v>0.17365929999999705</v>
      </c>
      <c r="I18" s="50">
        <f>'Regional Income 1870 by type'!U16/1000000</f>
        <v>0.29699300070949997</v>
      </c>
      <c r="J18" s="89">
        <f t="shared" si="2"/>
        <v>4.1347452380951673</v>
      </c>
      <c r="K18" s="89">
        <f t="shared" si="2"/>
        <v>3.6616054367589905</v>
      </c>
      <c r="L18" s="49"/>
      <c r="M18" s="88">
        <f t="shared" si="3"/>
        <v>1003.7900317440714</v>
      </c>
      <c r="N18" s="33">
        <f t="shared" si="3"/>
        <v>1044.7466707659207</v>
      </c>
      <c r="O18" s="33">
        <f t="shared" si="4"/>
        <v>242.76949943511067</v>
      </c>
      <c r="P18" s="33">
        <f t="shared" si="4"/>
        <v>285.32475407581353</v>
      </c>
      <c r="Q18" s="73"/>
      <c r="R18" s="33">
        <f t="shared" si="5"/>
        <v>946.97172806044466</v>
      </c>
      <c r="S18" s="33">
        <f t="shared" si="6"/>
        <v>682.34543083405561</v>
      </c>
      <c r="T18" s="214">
        <f t="shared" si="5"/>
        <v>229.02782965576478</v>
      </c>
      <c r="U18" s="214">
        <f t="shared" si="6"/>
        <v>186.35143589857199</v>
      </c>
      <c r="V18" s="49" t="s">
        <v>263</v>
      </c>
      <c r="W18" s="75">
        <f t="shared" si="0"/>
        <v>0.7205552294909715</v>
      </c>
      <c r="X18" s="75">
        <f t="shared" si="1"/>
        <v>0.81366284690669866</v>
      </c>
      <c r="Y18" s="26" t="s">
        <v>112</v>
      </c>
      <c r="AI18" s="125" t="s">
        <v>63</v>
      </c>
    </row>
    <row r="19" spans="1:35">
      <c r="A19" s="49" t="s">
        <v>264</v>
      </c>
      <c r="B19" s="49"/>
      <c r="C19" s="47">
        <f>'Regional Income 1860 by type'!K17</f>
        <v>242.56330240092998</v>
      </c>
      <c r="D19" s="48">
        <f>'Regional Income 1870 by type'!R17</f>
        <v>282.22885073524998</v>
      </c>
      <c r="E19" s="49"/>
      <c r="F19" s="50">
        <f>'Regional Income 1860 by type'!N17</f>
        <v>0.12664056999999959</v>
      </c>
      <c r="G19" s="50">
        <f>'Regional Income 1870 by type'!T17/1000000</f>
        <v>0.15723260095210001</v>
      </c>
      <c r="H19" s="50">
        <f>'Regional Income 1860 by type'!O17</f>
        <v>0.43520532000001821</v>
      </c>
      <c r="I19" s="50">
        <f>'Regional Income 1870 by type'!U17/1000000</f>
        <v>0.60978182412719995</v>
      </c>
      <c r="J19" s="89">
        <f t="shared" si="2"/>
        <v>3.4365394912548135</v>
      </c>
      <c r="K19" s="89">
        <f t="shared" si="2"/>
        <v>3.8782149530997483</v>
      </c>
      <c r="L19" s="49"/>
      <c r="M19" s="88">
        <f t="shared" si="3"/>
        <v>1915.3680562313543</v>
      </c>
      <c r="N19" s="33">
        <f t="shared" si="3"/>
        <v>1794.9766716714769</v>
      </c>
      <c r="O19" s="33">
        <f t="shared" si="4"/>
        <v>557.35371617451699</v>
      </c>
      <c r="P19" s="33">
        <f t="shared" si="4"/>
        <v>462.83578743793009</v>
      </c>
      <c r="Q19" s="73"/>
      <c r="R19" s="33">
        <f t="shared" si="5"/>
        <v>1806.950996444674</v>
      </c>
      <c r="S19" s="33">
        <f t="shared" si="6"/>
        <v>1172.3359974632288</v>
      </c>
      <c r="T19" s="214">
        <f t="shared" si="5"/>
        <v>525.80539261746878</v>
      </c>
      <c r="U19" s="214">
        <f t="shared" si="6"/>
        <v>302.2875244514783</v>
      </c>
      <c r="V19" s="49" t="s">
        <v>264</v>
      </c>
      <c r="W19" s="75">
        <f t="shared" si="0"/>
        <v>0.64879235782812983</v>
      </c>
      <c r="X19" s="75">
        <f t="shared" si="1"/>
        <v>0.57490381174427585</v>
      </c>
      <c r="Y19" s="26" t="s">
        <v>112</v>
      </c>
      <c r="AI19" s="125" t="s">
        <v>63</v>
      </c>
    </row>
    <row r="20" spans="1:35">
      <c r="A20" s="49"/>
      <c r="B20" s="49"/>
      <c r="C20" s="182"/>
      <c r="D20" s="49"/>
      <c r="E20" s="49"/>
      <c r="F20" s="49"/>
      <c r="G20" s="49"/>
      <c r="H20" s="49"/>
      <c r="I20" s="49"/>
      <c r="J20" s="49"/>
      <c r="K20" s="49"/>
      <c r="L20" s="49"/>
      <c r="M20" s="88"/>
      <c r="Q20" s="73"/>
      <c r="R20" s="33"/>
      <c r="T20" s="214"/>
      <c r="U20" s="214"/>
      <c r="AI20" s="125" t="s">
        <v>64</v>
      </c>
    </row>
    <row r="21" spans="1:35" ht="15">
      <c r="A21" s="49" t="s">
        <v>265</v>
      </c>
      <c r="B21" s="49"/>
      <c r="C21" s="47">
        <f>SUM(C11:C19)</f>
        <v>5074.0604965553084</v>
      </c>
      <c r="D21" s="47">
        <f>SUM(D11:D19)</f>
        <v>8596.292779934236</v>
      </c>
      <c r="E21" s="49"/>
      <c r="F21" s="183">
        <f>SUM(F11:F19)</f>
        <v>5.4050254899998889</v>
      </c>
      <c r="G21" s="183">
        <f>SUM(G11:G19)</f>
        <v>6.9409583228193279</v>
      </c>
      <c r="H21" s="183">
        <f>SUM(H11:H19)</f>
        <v>27.33829793999962</v>
      </c>
      <c r="I21" s="183">
        <f>SUM(I11:I19)</f>
        <v>33.831532069694696</v>
      </c>
      <c r="J21" s="89">
        <f t="shared" si="2"/>
        <v>5.0579406129683546</v>
      </c>
      <c r="K21" s="89">
        <f t="shared" si="2"/>
        <v>4.8741874675243348</v>
      </c>
      <c r="L21" s="49"/>
      <c r="M21" s="88">
        <f t="shared" si="3"/>
        <v>938.76717250327204</v>
      </c>
      <c r="N21" s="33">
        <f t="shared" si="3"/>
        <v>1238.4878831029391</v>
      </c>
      <c r="O21" s="33">
        <f t="shared" si="4"/>
        <v>185.60264825892006</v>
      </c>
      <c r="P21" s="33">
        <f t="shared" si="4"/>
        <v>254.09114675106736</v>
      </c>
      <c r="Q21" s="73"/>
      <c r="R21" s="33">
        <f t="shared" si="5"/>
        <v>885.62940802195476</v>
      </c>
      <c r="S21" s="33">
        <f t="shared" si="6"/>
        <v>808.88178141701394</v>
      </c>
      <c r="T21" s="214">
        <f t="shared" si="5"/>
        <v>175.09683798011326</v>
      </c>
      <c r="U21" s="214">
        <f t="shared" si="6"/>
        <v>165.95212777645909</v>
      </c>
      <c r="V21" t="s">
        <v>331</v>
      </c>
      <c r="W21" s="52">
        <f>S21/R21</f>
        <v>0.91334114934557564</v>
      </c>
      <c r="X21" s="52">
        <f>U21/T21</f>
        <v>0.94777341322010178</v>
      </c>
      <c r="AF21" s="115" t="s">
        <v>127</v>
      </c>
    </row>
    <row r="22" spans="1:35">
      <c r="A22" s="184" t="s">
        <v>123</v>
      </c>
      <c r="B22" s="49"/>
      <c r="C22" s="226">
        <f>C13+C16+C17</f>
        <v>1436.0277824111308</v>
      </c>
      <c r="D22" s="226">
        <f>D13+D16+D17</f>
        <v>1645.00675274222</v>
      </c>
      <c r="E22" s="49"/>
      <c r="F22" s="183">
        <f>F13+F16+F17</f>
        <v>1.3661055099999693</v>
      </c>
      <c r="G22" s="183">
        <f>G13+G16+G17</f>
        <v>1.5490450332678982</v>
      </c>
      <c r="H22" s="183">
        <f>H13+H16+H17</f>
        <v>7.2537414900003894</v>
      </c>
      <c r="I22" s="183">
        <f>I13+I16+I17</f>
        <v>8.1727636783590007</v>
      </c>
      <c r="J22" s="89">
        <f t="shared" ref="J22" si="7">H22/F22</f>
        <v>5.3097959395541512</v>
      </c>
      <c r="K22" s="89">
        <f t="shared" ref="K22" si="8">I22/G22</f>
        <v>5.2760013445945892</v>
      </c>
      <c r="L22" s="49"/>
      <c r="M22" s="88">
        <f t="shared" ref="M22" si="9">C22/F22</f>
        <v>1051.1836544830005</v>
      </c>
      <c r="N22" s="33">
        <f t="shared" ref="N22" si="10">D22/G22</f>
        <v>1061.94895397707</v>
      </c>
      <c r="O22" s="33">
        <f t="shared" ref="O22" si="11">C22/H22</f>
        <v>197.9706313480788</v>
      </c>
      <c r="P22" s="33">
        <f t="shared" ref="P22" si="12">D22/I22</f>
        <v>201.27912876009145</v>
      </c>
      <c r="Q22" s="73"/>
      <c r="R22" s="33">
        <f t="shared" si="5"/>
        <v>991.68269290849116</v>
      </c>
      <c r="S22" s="223">
        <f t="shared" si="6"/>
        <v>693.58059403437085</v>
      </c>
      <c r="T22" s="233">
        <f t="shared" si="5"/>
        <v>186.76474655479132</v>
      </c>
      <c r="U22" s="233">
        <f t="shared" si="6"/>
        <v>131.45951805811487</v>
      </c>
      <c r="V22" t="s">
        <v>50</v>
      </c>
      <c r="W22" s="52">
        <f t="shared" ref="W22:W24" si="13">S22/R22</f>
        <v>0.69939769948004116</v>
      </c>
      <c r="X22" s="52">
        <f t="shared" ref="X22:X24" si="14">U22/T22</f>
        <v>0.7038775811983794</v>
      </c>
      <c r="AF22" s="32" t="s">
        <v>14</v>
      </c>
    </row>
    <row r="23" spans="1:35">
      <c r="A23" s="221" t="s">
        <v>332</v>
      </c>
      <c r="B23" s="49"/>
      <c r="C23" s="226">
        <f>SUM(C11:C15)</f>
        <v>4010.172681604327</v>
      </c>
      <c r="D23" s="226">
        <f t="shared" ref="D23:I23" si="15">SUM(D11:D15)</f>
        <v>7277.5213932086208</v>
      </c>
      <c r="E23" s="49"/>
      <c r="F23" s="222">
        <f t="shared" si="15"/>
        <v>4.5374737399998981</v>
      </c>
      <c r="G23" s="222">
        <f t="shared" si="15"/>
        <v>5.8819585113608994</v>
      </c>
      <c r="H23" s="222">
        <f t="shared" si="15"/>
        <v>22.975806579999226</v>
      </c>
      <c r="I23" s="222">
        <f t="shared" si="15"/>
        <v>28.553258412567999</v>
      </c>
      <c r="J23" s="89">
        <f t="shared" ref="J23" si="16">H23/F23</f>
        <v>5.0635679447479829</v>
      </c>
      <c r="K23" s="89">
        <f t="shared" ref="K23" si="17">I23/G23</f>
        <v>4.8543794311737978</v>
      </c>
      <c r="L23" s="49"/>
      <c r="M23" s="88">
        <f t="shared" ref="M23" si="18">C23/F23</f>
        <v>883.7897278066489</v>
      </c>
      <c r="N23" s="33">
        <f t="shared" ref="N23" si="19">D23/G23</f>
        <v>1237.2615990323998</v>
      </c>
      <c r="O23" s="33">
        <f t="shared" ref="O23" si="20">C23/H23</f>
        <v>174.53892935777239</v>
      </c>
      <c r="P23" s="33">
        <f t="shared" ref="P23" si="21">D23/I23</f>
        <v>254.87533815073616</v>
      </c>
      <c r="Q23" s="73"/>
      <c r="R23" s="33">
        <f t="shared" ref="R23:R24" si="22">100*M23/106</f>
        <v>833.76389415721587</v>
      </c>
      <c r="S23" s="223">
        <f t="shared" ref="S23:S24" si="23">100*N23*(90/130)/106</f>
        <v>808.08087019532638</v>
      </c>
      <c r="T23" s="234">
        <f t="shared" ref="T23:T24" si="24">100*O23/106</f>
        <v>164.65936731865321</v>
      </c>
      <c r="U23" s="234">
        <f t="shared" ref="U23:U24" si="25">100*P23*(90/130)/106</f>
        <v>166.46429922762158</v>
      </c>
      <c r="V23" s="220" t="s">
        <v>332</v>
      </c>
      <c r="W23" s="52">
        <f t="shared" si="13"/>
        <v>0.96919628669234903</v>
      </c>
      <c r="X23" s="52">
        <f t="shared" si="14"/>
        <v>1.0109616108598025</v>
      </c>
      <c r="AF23" s="32" t="s">
        <v>15</v>
      </c>
      <c r="AG23" s="32" t="s">
        <v>62</v>
      </c>
    </row>
    <row r="24" spans="1:35">
      <c r="A24" s="221" t="s">
        <v>333</v>
      </c>
      <c r="B24" s="49"/>
      <c r="C24" s="226">
        <f>C18+C19</f>
        <v>284.72248373418097</v>
      </c>
      <c r="D24" s="226">
        <f t="shared" ref="D24:I24" si="26">D18+D19</f>
        <v>366.96830562492596</v>
      </c>
      <c r="E24" s="49"/>
      <c r="F24" s="222">
        <f t="shared" si="26"/>
        <v>0.1686405699999996</v>
      </c>
      <c r="G24" s="222">
        <f t="shared" si="26"/>
        <v>0.23834265113063002</v>
      </c>
      <c r="H24" s="222">
        <f t="shared" si="26"/>
        <v>0.60886462000001529</v>
      </c>
      <c r="I24" s="222">
        <f t="shared" si="26"/>
        <v>0.90677482483669991</v>
      </c>
      <c r="J24" s="89">
        <f t="shared" ref="J24" si="27">H24/F24</f>
        <v>3.6104279059304458</v>
      </c>
      <c r="K24" s="89">
        <f t="shared" ref="K24" si="28">I24/G24</f>
        <v>3.8045008752534093</v>
      </c>
      <c r="L24" s="49"/>
      <c r="M24" s="88">
        <f t="shared" ref="M24" si="29">C24/F24</f>
        <v>1688.3391922488263</v>
      </c>
      <c r="N24" s="33">
        <f t="shared" ref="N24" si="30">D24/G24</f>
        <v>1539.6669621829424</v>
      </c>
      <c r="O24" s="33">
        <f t="shared" ref="O24" si="31">C24/H24</f>
        <v>467.62855712354218</v>
      </c>
      <c r="P24" s="33">
        <f t="shared" ref="P24" si="32">D24/I24</f>
        <v>404.69617767675993</v>
      </c>
      <c r="Q24" s="73"/>
      <c r="R24" s="33">
        <f t="shared" si="22"/>
        <v>1592.772822876251</v>
      </c>
      <c r="S24" s="223">
        <f t="shared" si="23"/>
        <v>1005.5880014257242</v>
      </c>
      <c r="T24" s="234">
        <f t="shared" si="24"/>
        <v>441.1590161542851</v>
      </c>
      <c r="U24" s="234">
        <f t="shared" si="25"/>
        <v>264.31535552183158</v>
      </c>
      <c r="V24" s="220" t="s">
        <v>333</v>
      </c>
      <c r="W24" s="52">
        <f t="shared" si="13"/>
        <v>0.63134427394976489</v>
      </c>
      <c r="X24" s="52">
        <f t="shared" si="14"/>
        <v>0.59913850979618977</v>
      </c>
    </row>
    <row r="25" spans="1:35">
      <c r="A25" s="221"/>
      <c r="B25" s="49"/>
      <c r="C25" s="226"/>
      <c r="D25" s="226"/>
      <c r="E25" s="49"/>
      <c r="F25" s="222"/>
      <c r="G25" s="222"/>
      <c r="H25" s="222"/>
      <c r="I25" s="222"/>
      <c r="J25" s="89"/>
      <c r="K25" s="89"/>
      <c r="L25" s="49"/>
      <c r="M25" s="88"/>
      <c r="Q25" s="73"/>
      <c r="R25" s="33"/>
      <c r="S25" s="223"/>
      <c r="T25" s="234"/>
      <c r="U25" s="234"/>
      <c r="V25" s="220"/>
      <c r="W25" s="230"/>
      <c r="X25" s="230"/>
    </row>
    <row r="26" spans="1:35" ht="15">
      <c r="A26" s="49"/>
      <c r="B26" s="49"/>
      <c r="C26" s="219" t="s">
        <v>312</v>
      </c>
      <c r="D26" s="49"/>
      <c r="E26" s="49"/>
      <c r="F26" s="49"/>
      <c r="G26" s="49"/>
      <c r="H26" s="49"/>
      <c r="I26" s="49"/>
      <c r="J26" s="49"/>
      <c r="K26" s="49"/>
      <c r="L26" s="49"/>
      <c r="M26" s="88"/>
      <c r="Q26" s="73"/>
      <c r="R26" s="49"/>
      <c r="S26" s="49"/>
      <c r="T26" s="49"/>
      <c r="U26" s="49"/>
      <c r="W26" s="36" t="s">
        <v>109</v>
      </c>
    </row>
    <row r="27" spans="1:35" ht="15">
      <c r="A27" s="49"/>
      <c r="B27" s="49"/>
      <c r="C27" s="185"/>
      <c r="D27" s="49"/>
      <c r="E27" s="49"/>
      <c r="F27" s="186" t="s">
        <v>111</v>
      </c>
      <c r="G27" s="49"/>
      <c r="H27" s="187" t="s">
        <v>216</v>
      </c>
      <c r="I27" s="49"/>
      <c r="J27" s="49" t="s">
        <v>217</v>
      </c>
      <c r="K27" s="49"/>
      <c r="L27" s="49"/>
      <c r="M27" s="88" t="s">
        <v>218</v>
      </c>
      <c r="Q27" s="73"/>
      <c r="R27" s="88" t="s">
        <v>362</v>
      </c>
      <c r="S27" s="88"/>
      <c r="T27" s="88"/>
      <c r="U27" s="88"/>
      <c r="W27" s="55" t="s">
        <v>266</v>
      </c>
    </row>
    <row r="28" spans="1:35">
      <c r="A28" s="49"/>
      <c r="B28" s="49"/>
      <c r="C28" s="188" t="s">
        <v>267</v>
      </c>
      <c r="D28" s="49"/>
      <c r="E28" s="49"/>
      <c r="F28" s="186" t="s">
        <v>222</v>
      </c>
      <c r="G28" s="49"/>
      <c r="H28" s="189" t="s">
        <v>223</v>
      </c>
      <c r="I28" s="49"/>
      <c r="J28" s="49" t="s">
        <v>224</v>
      </c>
      <c r="K28" s="49"/>
      <c r="L28" s="49"/>
      <c r="M28" s="88" t="s">
        <v>116</v>
      </c>
      <c r="O28" s="33" t="s">
        <v>117</v>
      </c>
      <c r="Q28" s="73"/>
      <c r="R28" s="88" t="s">
        <v>116</v>
      </c>
      <c r="S28" s="88"/>
      <c r="T28" s="88" t="s">
        <v>117</v>
      </c>
      <c r="U28" s="88"/>
      <c r="W28" s="42" t="s">
        <v>118</v>
      </c>
    </row>
    <row r="29" spans="1:35">
      <c r="A29" s="49"/>
      <c r="B29" s="49"/>
      <c r="C29" s="190">
        <v>1860</v>
      </c>
      <c r="D29" s="191">
        <v>1870</v>
      </c>
      <c r="E29" s="49"/>
      <c r="F29" s="190">
        <v>1860</v>
      </c>
      <c r="G29" s="191">
        <v>1870</v>
      </c>
      <c r="H29" s="190">
        <v>1860</v>
      </c>
      <c r="I29" s="191">
        <v>1870</v>
      </c>
      <c r="J29" s="190">
        <v>1860</v>
      </c>
      <c r="K29" s="191">
        <v>1870</v>
      </c>
      <c r="L29" s="49"/>
      <c r="M29" s="190">
        <v>1860</v>
      </c>
      <c r="N29" s="44">
        <v>1870</v>
      </c>
      <c r="O29" s="43">
        <v>1860</v>
      </c>
      <c r="P29" s="44">
        <v>1870</v>
      </c>
      <c r="Q29" s="73"/>
      <c r="R29" s="190">
        <v>1860</v>
      </c>
      <c r="S29" s="191">
        <v>1870</v>
      </c>
      <c r="T29" s="190">
        <v>1860</v>
      </c>
      <c r="U29" s="191">
        <v>1870</v>
      </c>
      <c r="W29" s="45" t="s">
        <v>416</v>
      </c>
      <c r="X29" s="46" t="s">
        <v>417</v>
      </c>
    </row>
    <row r="30" spans="1:35">
      <c r="A30" s="49" t="s">
        <v>274</v>
      </c>
      <c r="B30" s="49"/>
      <c r="C30" s="47"/>
      <c r="D30" s="47">
        <f>'Regional Income 1870 by type'!R26</f>
        <v>4.8933034803162991</v>
      </c>
      <c r="E30" s="49"/>
      <c r="F30" s="50"/>
      <c r="G30" s="50">
        <f>'Regional Income 1870 by type'!T26/1000000</f>
        <v>6.8227899093629999E-3</v>
      </c>
      <c r="H30" s="49"/>
      <c r="I30" s="50">
        <f>'Regional Income 1870 by type'!U26/1000000</f>
        <v>2.4823599662780003E-2</v>
      </c>
      <c r="J30" s="89"/>
      <c r="K30" s="89">
        <f t="shared" ref="K30:K41" si="33">I30/G30</f>
        <v>3.6383356357953023</v>
      </c>
      <c r="L30" s="49"/>
      <c r="M30" s="88"/>
      <c r="N30" s="33">
        <f t="shared" si="3"/>
        <v>717.19978855001204</v>
      </c>
      <c r="O30" s="254"/>
      <c r="P30" s="254">
        <f>D30/I30</f>
        <v>197.12304205635488</v>
      </c>
      <c r="Q30" s="73"/>
      <c r="R30" s="49"/>
      <c r="S30" s="88">
        <f>100*N30*(90/130)/106</f>
        <v>468.417858994928</v>
      </c>
      <c r="T30" s="49"/>
      <c r="U30" s="214">
        <f>100*P30*(90/130)/106</f>
        <v>128.74509277991245</v>
      </c>
      <c r="V30" s="32" t="s">
        <v>274</v>
      </c>
    </row>
    <row r="31" spans="1:35">
      <c r="A31" s="49" t="s">
        <v>418</v>
      </c>
      <c r="B31" s="49"/>
      <c r="C31" s="47"/>
      <c r="D31" s="47">
        <f>'Regional Income 1870 by type'!R27</f>
        <v>20.041403765697702</v>
      </c>
      <c r="E31" s="49"/>
      <c r="F31" s="50"/>
      <c r="G31" s="50">
        <f>'Regional Income 1870 by type'!T27/1000000</f>
        <v>3.6326920188900005E-2</v>
      </c>
      <c r="H31" s="49"/>
      <c r="I31" s="50">
        <f>'Regional Income 1870 by type'!U27/1000000</f>
        <v>0.1469638608246</v>
      </c>
      <c r="J31" s="89"/>
      <c r="K31" s="89">
        <f t="shared" si="33"/>
        <v>4.0455909848780971</v>
      </c>
      <c r="L31" s="49"/>
      <c r="M31" s="88"/>
      <c r="N31" s="33">
        <f t="shared" si="3"/>
        <v>551.6956477863356</v>
      </c>
      <c r="O31" s="254"/>
      <c r="P31" s="254">
        <f t="shared" ref="O31:P41" si="34">D31/I31</f>
        <v>136.36960578775847</v>
      </c>
      <c r="Q31" s="73"/>
      <c r="R31" s="49"/>
      <c r="S31" s="88">
        <f t="shared" ref="S31:U41" si="35">100*N31*(90/130)/106</f>
        <v>360.32371771241077</v>
      </c>
      <c r="T31" s="89"/>
      <c r="U31" s="89">
        <f t="shared" ref="U31:U39" si="36">100*P31*(90/130)/106</f>
        <v>89.065780267766783</v>
      </c>
      <c r="V31" s="32" t="s">
        <v>418</v>
      </c>
    </row>
    <row r="32" spans="1:35">
      <c r="A32" s="49" t="s">
        <v>260</v>
      </c>
      <c r="B32" s="49"/>
      <c r="C32" s="47">
        <f>'Regional Income 1860 by type'!B26</f>
        <v>61.655555569997496</v>
      </c>
      <c r="D32" s="47">
        <f>'Regional Income 1870 by type'!R28</f>
        <v>143.60006448038669</v>
      </c>
      <c r="E32" s="49"/>
      <c r="F32" s="50">
        <f>'Regional Income 1860 by type'!N26</f>
        <v>0.43934415000000004</v>
      </c>
      <c r="G32" s="50">
        <f>'Regional Income 1870 by type'!T28/1000000</f>
        <v>0.4276714413605</v>
      </c>
      <c r="H32" s="50">
        <f>'Regional Income 1860 by type'!P26</f>
        <v>1.8415950000000001</v>
      </c>
      <c r="I32" s="50">
        <f>'Regional Income 1870 by type'!U28/1000000</f>
        <v>2.0352984763489999</v>
      </c>
      <c r="J32" s="89">
        <f t="shared" ref="J32:J41" si="37">H32/F32</f>
        <v>4.1916911833240524</v>
      </c>
      <c r="K32" s="89">
        <f t="shared" si="33"/>
        <v>4.7590235856627423</v>
      </c>
      <c r="L32" s="49"/>
      <c r="M32" s="88">
        <f t="shared" si="3"/>
        <v>140.33544220401589</v>
      </c>
      <c r="N32" s="33">
        <f t="shared" si="3"/>
        <v>335.77192815019163</v>
      </c>
      <c r="O32" s="254">
        <f t="shared" si="34"/>
        <v>33.479432540812446</v>
      </c>
      <c r="P32" s="254">
        <f t="shared" si="34"/>
        <v>70.554793878675852</v>
      </c>
      <c r="Q32" s="73"/>
      <c r="R32" s="88">
        <f t="shared" ref="R32:T36" si="38">100*M32/106</f>
        <v>132.39192660756217</v>
      </c>
      <c r="S32" s="88">
        <f t="shared" si="35"/>
        <v>219.2995176597768</v>
      </c>
      <c r="T32" s="89">
        <f t="shared" si="38"/>
        <v>31.584370321521174</v>
      </c>
      <c r="U32" s="89">
        <f t="shared" si="36"/>
        <v>46.080779746595255</v>
      </c>
      <c r="V32" s="32" t="s">
        <v>260</v>
      </c>
      <c r="W32" s="52">
        <f>S32/R32</f>
        <v>1.6564417731439713</v>
      </c>
      <c r="X32" s="52">
        <f>U32/T32</f>
        <v>1.4589741469436994</v>
      </c>
    </row>
    <row r="33" spans="1:25">
      <c r="A33" s="49" t="s">
        <v>435</v>
      </c>
      <c r="B33" s="49"/>
      <c r="C33" s="47"/>
      <c r="D33" s="47">
        <f>'Regional Income 1870 by type'!R29</f>
        <v>16.298059422924801</v>
      </c>
      <c r="E33" s="49"/>
      <c r="F33" s="50"/>
      <c r="G33" s="50">
        <f>'Regional Income 1870 by type'!T29/1000000</f>
        <v>2.9575579994200001E-2</v>
      </c>
      <c r="H33" s="49"/>
      <c r="I33" s="50">
        <f>'Regional Income 1870 by type'!U29/1000000</f>
        <v>0.12864671010590001</v>
      </c>
      <c r="J33" s="89"/>
      <c r="K33" s="89">
        <f t="shared" si="33"/>
        <v>4.3497611925490087</v>
      </c>
      <c r="L33" s="49"/>
      <c r="M33" s="88"/>
      <c r="N33" s="33">
        <f t="shared" si="3"/>
        <v>551.06474416126332</v>
      </c>
      <c r="O33" s="254"/>
      <c r="P33" s="254">
        <f t="shared" si="34"/>
        <v>126.68850536098815</v>
      </c>
      <c r="Q33" s="73"/>
      <c r="R33" s="33"/>
      <c r="S33" s="33">
        <f t="shared" si="35"/>
        <v>359.91166164378592</v>
      </c>
      <c r="T33" s="89"/>
      <c r="U33" s="89">
        <f t="shared" si="36"/>
        <v>82.742855460732471</v>
      </c>
      <c r="V33" s="49" t="s">
        <v>435</v>
      </c>
      <c r="W33" s="49"/>
      <c r="X33" s="52"/>
    </row>
    <row r="34" spans="1:25">
      <c r="A34" s="4" t="s">
        <v>390</v>
      </c>
      <c r="B34" s="181"/>
      <c r="C34" s="47">
        <f>'Regional Income 1860 by type'!K30</f>
        <v>5.23919511999995</v>
      </c>
      <c r="D34" s="47">
        <f>'Regional Income 1870 by type'!R30</f>
        <v>14.277267636322598</v>
      </c>
      <c r="E34" s="49"/>
      <c r="F34" s="50">
        <f>'Regional Income 1860 by type'!N30</f>
        <v>2.8923999999999998E-2</v>
      </c>
      <c r="G34" s="50">
        <f>'Regional Income 1870 by type'!T30/1000000</f>
        <v>2.6299890007019999E-2</v>
      </c>
      <c r="H34" s="50">
        <f>'Regional Income 1860 by type'!P30</f>
        <v>8.2640000000000005E-2</v>
      </c>
      <c r="I34" s="50">
        <f>'Regional Income 1870 by type'!U30/1000000</f>
        <v>0.12629843029019999</v>
      </c>
      <c r="J34" s="89">
        <f t="shared" si="37"/>
        <v>2.8571428571428577</v>
      </c>
      <c r="K34" s="89">
        <f t="shared" si="33"/>
        <v>4.8022417681780514</v>
      </c>
      <c r="L34" s="49"/>
      <c r="M34" s="88">
        <f t="shared" si="3"/>
        <v>181.13660351265213</v>
      </c>
      <c r="N34" s="33">
        <f t="shared" si="3"/>
        <v>542.86415770224482</v>
      </c>
      <c r="O34" s="254">
        <f t="shared" si="34"/>
        <v>63.397811229428243</v>
      </c>
      <c r="P34" s="254">
        <f t="shared" si="34"/>
        <v>113.04390405737631</v>
      </c>
      <c r="Q34" s="73"/>
      <c r="R34" s="33">
        <f t="shared" si="38"/>
        <v>170.88358821948316</v>
      </c>
      <c r="S34" s="33">
        <f t="shared" si="35"/>
        <v>354.55569080698137</v>
      </c>
      <c r="T34" s="89">
        <f t="shared" si="38"/>
        <v>59.809255876819101</v>
      </c>
      <c r="U34" s="89">
        <f t="shared" si="36"/>
        <v>73.831287120202234</v>
      </c>
      <c r="V34" s="32" t="s">
        <v>22</v>
      </c>
      <c r="W34" s="52">
        <f>S34/R34</f>
        <v>2.0748375809594393</v>
      </c>
      <c r="X34" s="52">
        <f>U34/T34</f>
        <v>1.2344458401599643</v>
      </c>
      <c r="Y34" s="32" t="s">
        <v>23</v>
      </c>
    </row>
    <row r="35" spans="1:25">
      <c r="A35" s="49" t="s">
        <v>262</v>
      </c>
      <c r="B35" s="49"/>
      <c r="C35" s="47">
        <f>'Regional Income 1860 by type'!K28</f>
        <v>66.141540720006802</v>
      </c>
      <c r="D35" s="47">
        <f>'Regional Income 1870 by type'!R31</f>
        <v>138.63622182166668</v>
      </c>
      <c r="E35" s="49"/>
      <c r="F35" s="50">
        <f>'Regional Income 1860 by type'!N28</f>
        <v>0.32401390000000002</v>
      </c>
      <c r="G35" s="50">
        <f>'Regional Income 1870 by type'!T31/1000000</f>
        <v>0.28859113999999886</v>
      </c>
      <c r="H35" s="50">
        <f>'Regional Income 1860 by type'!P28</f>
        <v>1.3673410000000004</v>
      </c>
      <c r="I35" s="50">
        <f>'Regional Income 1870 by type'!U31/1000000</f>
        <v>1.3631234253919999</v>
      </c>
      <c r="J35" s="89">
        <f t="shared" si="37"/>
        <v>4.2200072280849685</v>
      </c>
      <c r="K35" s="89">
        <f t="shared" si="33"/>
        <v>4.7233723994160224</v>
      </c>
      <c r="L35" s="49"/>
      <c r="M35" s="88">
        <f t="shared" si="3"/>
        <v>204.13180027155255</v>
      </c>
      <c r="N35" s="33">
        <f t="shared" si="3"/>
        <v>480.3897369186983</v>
      </c>
      <c r="O35" s="254">
        <f t="shared" si="34"/>
        <v>48.372381666319363</v>
      </c>
      <c r="P35" s="254">
        <f t="shared" si="34"/>
        <v>101.70481941633304</v>
      </c>
      <c r="Q35" s="73"/>
      <c r="R35" s="33">
        <f t="shared" si="38"/>
        <v>192.57717006750241</v>
      </c>
      <c r="S35" s="33">
        <f t="shared" si="35"/>
        <v>313.75236808913536</v>
      </c>
      <c r="T35" s="89">
        <f t="shared" si="38"/>
        <v>45.634322326716379</v>
      </c>
      <c r="U35" s="89">
        <f t="shared" si="36"/>
        <v>66.425498893105754</v>
      </c>
      <c r="V35" s="32" t="s">
        <v>262</v>
      </c>
      <c r="W35" s="52">
        <f t="shared" ref="W35:W36" si="39">S35/R35</f>
        <v>1.6292293005404455</v>
      </c>
      <c r="X35" s="52">
        <f t="shared" ref="X35:X36" si="40">U35/T35</f>
        <v>1.4556039293743885</v>
      </c>
    </row>
    <row r="36" spans="1:25">
      <c r="A36" s="49" t="s">
        <v>424</v>
      </c>
      <c r="B36" s="49"/>
      <c r="C36" s="47">
        <f>'Regional Income 1860 by type'!K29</f>
        <v>38.677412759999001</v>
      </c>
      <c r="D36" s="47">
        <f>'Regional Income 1870 by type'!R32</f>
        <v>87.365184140032014</v>
      </c>
      <c r="E36" s="49"/>
      <c r="F36" s="50">
        <f>'Regional Income 1860 by type'!N29</f>
        <v>0.15282155</v>
      </c>
      <c r="G36" s="50">
        <f>'Regional Income 1870 by type'!T32/1000000</f>
        <v>0.15486105030060002</v>
      </c>
      <c r="H36" s="50">
        <f>'Regional Income 1860 by type'!P29</f>
        <v>0.62185699999999999</v>
      </c>
      <c r="I36" s="50">
        <f>'Regional Income 1870 by type'!U32/1000000</f>
        <v>0.68557122261049996</v>
      </c>
      <c r="J36" s="89">
        <f t="shared" si="37"/>
        <v>4.0691708728252003</v>
      </c>
      <c r="K36" s="89">
        <f t="shared" si="33"/>
        <v>4.4270087364107438</v>
      </c>
      <c r="L36" s="49"/>
      <c r="M36" s="88">
        <f t="shared" si="3"/>
        <v>253.08873493299211</v>
      </c>
      <c r="N36" s="33">
        <f t="shared" si="3"/>
        <v>564.15208324138246</v>
      </c>
      <c r="O36" s="254">
        <f t="shared" si="34"/>
        <v>62.196634853348925</v>
      </c>
      <c r="P36" s="254">
        <f t="shared" si="34"/>
        <v>127.43414726097338</v>
      </c>
      <c r="Q36" s="73"/>
      <c r="R36" s="33">
        <f t="shared" si="38"/>
        <v>238.76295748395484</v>
      </c>
      <c r="S36" s="33">
        <f t="shared" si="35"/>
        <v>368.45927062209302</v>
      </c>
      <c r="T36" s="89">
        <f t="shared" si="38"/>
        <v>58.676070616366907</v>
      </c>
      <c r="U36" s="89">
        <f t="shared" si="36"/>
        <v>83.229849444757647</v>
      </c>
      <c r="V36" s="32" t="s">
        <v>424</v>
      </c>
      <c r="W36" s="52">
        <f t="shared" si="39"/>
        <v>1.5432011502322505</v>
      </c>
      <c r="X36" s="52">
        <f t="shared" si="40"/>
        <v>1.4184632435414275</v>
      </c>
    </row>
    <row r="37" spans="1:25">
      <c r="A37" s="49" t="s">
        <v>263</v>
      </c>
      <c r="B37" s="49"/>
      <c r="C37" s="47"/>
      <c r="D37" s="47">
        <f>'Regional Income 1870 by type'!R33</f>
        <v>5.364058504638674</v>
      </c>
      <c r="E37" s="49"/>
      <c r="F37" s="50"/>
      <c r="G37" s="50">
        <f>'Regional Income 1870 by type'!T33/1000000</f>
        <v>3.547320037842E-3</v>
      </c>
      <c r="H37" s="49"/>
      <c r="I37" s="50">
        <f>'Regional Income 1870 by type'!U33/1000000</f>
        <v>1.0552560241699999E-2</v>
      </c>
      <c r="J37" s="89"/>
      <c r="K37" s="89">
        <f t="shared" si="33"/>
        <v>2.9747979119807901</v>
      </c>
      <c r="L37" s="49"/>
      <c r="M37" s="88"/>
      <c r="N37" s="33">
        <f t="shared" si="3"/>
        <v>1512.1439417408417</v>
      </c>
      <c r="O37" s="254"/>
      <c r="P37" s="254">
        <f t="shared" si="34"/>
        <v>508.31820731444918</v>
      </c>
      <c r="Q37" s="73"/>
      <c r="S37" s="33">
        <f t="shared" si="35"/>
        <v>987.61215353175419</v>
      </c>
      <c r="T37" s="89"/>
      <c r="U37" s="89">
        <f t="shared" si="36"/>
        <v>331.99302364514097</v>
      </c>
      <c r="V37" s="32" t="s">
        <v>263</v>
      </c>
    </row>
    <row r="38" spans="1:25">
      <c r="A38" s="49" t="s">
        <v>264</v>
      </c>
      <c r="B38" s="49"/>
      <c r="C38" s="47"/>
      <c r="D38" s="47">
        <f>'Regional Income 1870 by type'!R34</f>
        <v>30.295887785357742</v>
      </c>
      <c r="E38" s="49"/>
      <c r="F38" s="50"/>
      <c r="G38" s="50">
        <f>'Regional Income 1870 by type'!T34/1000000</f>
        <v>1.6681790176390002E-2</v>
      </c>
      <c r="H38" s="49"/>
      <c r="I38" s="50">
        <f>'Regional Income 1870 by type'!U34/1000000</f>
        <v>5.5161050598139999E-2</v>
      </c>
      <c r="J38" s="89"/>
      <c r="K38" s="89">
        <f t="shared" si="33"/>
        <v>3.3066625353081287</v>
      </c>
      <c r="L38" s="49"/>
      <c r="M38" s="88"/>
      <c r="N38" s="33">
        <f t="shared" si="3"/>
        <v>1816.1053139390272</v>
      </c>
      <c r="O38" s="254"/>
      <c r="P38" s="254">
        <f t="shared" si="34"/>
        <v>549.22608356519049</v>
      </c>
      <c r="Q38" s="73"/>
      <c r="S38" s="33">
        <f t="shared" si="35"/>
        <v>1186.1355461140236</v>
      </c>
      <c r="T38" s="89"/>
      <c r="U38" s="89">
        <f t="shared" si="36"/>
        <v>358.71079478132907</v>
      </c>
      <c r="V38" s="32" t="s">
        <v>264</v>
      </c>
    </row>
    <row r="39" spans="1:25">
      <c r="A39" s="49" t="s">
        <v>248</v>
      </c>
      <c r="B39" s="49"/>
      <c r="C39" s="47">
        <f>'Regional Income 1860 by type'!K30</f>
        <v>5.23919511999995</v>
      </c>
      <c r="D39" s="47">
        <f>'Regional Income 1870 by type'!R35</f>
        <v>10.642721412322599</v>
      </c>
      <c r="E39" s="49"/>
      <c r="F39" s="50">
        <f>'Regional Income 1860 by type'!N30</f>
        <v>2.8923999999999998E-2</v>
      </c>
      <c r="G39" s="50">
        <f>'Regional Income 1870 by type'!T35/1000000</f>
        <v>1.9734839950559999E-2</v>
      </c>
      <c r="H39" s="50">
        <f>'Regional Income 1860 by type'!P30</f>
        <v>8.2640000000000005E-2</v>
      </c>
      <c r="I39" s="50">
        <f>'Regional Income 1870 by type'!U35/1000000</f>
        <v>9.8246480186459997E-2</v>
      </c>
      <c r="J39" s="89">
        <f t="shared" si="37"/>
        <v>2.8571428571428577</v>
      </c>
      <c r="K39" s="89">
        <f t="shared" si="33"/>
        <v>4.9783266767092345</v>
      </c>
      <c r="L39" s="49"/>
      <c r="M39" s="88">
        <f t="shared" si="3"/>
        <v>181.13660351265213</v>
      </c>
      <c r="N39" s="33">
        <f t="shared" si="3"/>
        <v>539.28592473944025</v>
      </c>
      <c r="O39" s="254">
        <f t="shared" si="34"/>
        <v>63.397811229428243</v>
      </c>
      <c r="P39" s="254">
        <f t="shared" si="34"/>
        <v>108.32674506123776</v>
      </c>
      <c r="Q39" s="73"/>
      <c r="R39" s="33">
        <f t="shared" ref="R39" si="41">100*M39/106</f>
        <v>170.88358821948316</v>
      </c>
      <c r="S39" s="33">
        <f t="shared" si="35"/>
        <v>352.21867363243558</v>
      </c>
      <c r="T39" s="89">
        <f t="shared" ref="T39" si="42">100*O39/106</f>
        <v>59.809255876819101</v>
      </c>
      <c r="U39" s="89">
        <f t="shared" si="36"/>
        <v>70.750414045801151</v>
      </c>
      <c r="V39" s="32" t="s">
        <v>248</v>
      </c>
      <c r="W39" s="52">
        <f>S39/R39</f>
        <v>2.061161503584799</v>
      </c>
      <c r="X39" s="52">
        <f>U39/T39</f>
        <v>1.1829341965316547</v>
      </c>
    </row>
    <row r="40" spans="1:25">
      <c r="A40" s="49"/>
      <c r="B40" s="49"/>
      <c r="C40" s="47"/>
      <c r="D40" s="99"/>
      <c r="E40" s="49"/>
      <c r="F40" s="50"/>
      <c r="G40" s="49"/>
      <c r="H40" s="49"/>
      <c r="I40" s="49"/>
      <c r="J40" s="49"/>
      <c r="K40" s="89"/>
      <c r="L40" s="49"/>
      <c r="M40" s="88"/>
      <c r="O40" s="254"/>
      <c r="P40" s="254"/>
      <c r="Q40" s="73"/>
      <c r="T40" s="89"/>
      <c r="U40" s="89"/>
    </row>
    <row r="41" spans="1:25">
      <c r="A41" s="49" t="s">
        <v>268</v>
      </c>
      <c r="B41" s="49"/>
      <c r="C41" s="47">
        <f>SUM(C30:C38)</f>
        <v>171.71370417000327</v>
      </c>
      <c r="D41" s="47">
        <f>SUM(D30:D38)</f>
        <v>460.77145103734318</v>
      </c>
      <c r="E41" s="49"/>
      <c r="F41" s="50">
        <f>SUM(F30:F38)</f>
        <v>0.94510360000000004</v>
      </c>
      <c r="G41" s="183">
        <f>SUM(G30:G38)</f>
        <v>0.990377921974814</v>
      </c>
      <c r="H41" s="50">
        <f>SUM(H30:H38)</f>
        <v>3.9134330000000004</v>
      </c>
      <c r="I41" s="183">
        <f>SUM(I30:I38)</f>
        <v>4.5764393360748201</v>
      </c>
      <c r="J41" s="89">
        <f t="shared" si="37"/>
        <v>4.1407449934589184</v>
      </c>
      <c r="K41" s="89">
        <f t="shared" si="33"/>
        <v>4.6209020158177578</v>
      </c>
      <c r="L41" s="49"/>
      <c r="M41" s="88">
        <f t="shared" si="3"/>
        <v>181.68770510450204</v>
      </c>
      <c r="N41" s="33">
        <f t="shared" si="3"/>
        <v>465.24810460088275</v>
      </c>
      <c r="O41" s="254">
        <f t="shared" si="34"/>
        <v>43.878023252219535</v>
      </c>
      <c r="P41" s="254">
        <f t="shared" si="34"/>
        <v>100.68339536486539</v>
      </c>
      <c r="Q41" s="73"/>
      <c r="R41" s="33">
        <f t="shared" ref="R41" si="43">100*M41/106</f>
        <v>171.40349538160572</v>
      </c>
      <c r="S41" s="33">
        <f t="shared" si="35"/>
        <v>303.86305815732544</v>
      </c>
      <c r="T41" s="89">
        <f t="shared" ref="T41" si="44">100*O41/106</f>
        <v>41.394361558697675</v>
      </c>
      <c r="U41" s="89">
        <f t="shared" si="35"/>
        <v>65.758385942219775</v>
      </c>
      <c r="V41" s="32" t="s">
        <v>269</v>
      </c>
      <c r="W41" s="52">
        <f t="shared" ref="W41" si="45">S41/R41</f>
        <v>1.7727938247747934</v>
      </c>
      <c r="X41" s="52">
        <f t="shared" ref="X41" si="46">U41/T41</f>
        <v>1.5885831660665581</v>
      </c>
    </row>
    <row r="42" spans="1:25">
      <c r="A42" s="99" t="s">
        <v>34</v>
      </c>
      <c r="B42" s="49"/>
      <c r="C42" s="47">
        <f>C32+C35+C36+C39</f>
        <v>171.71370417000324</v>
      </c>
      <c r="D42" s="47">
        <f>D32+D35+D36+D39</f>
        <v>380.24419185440797</v>
      </c>
      <c r="E42" s="49"/>
      <c r="F42" s="183">
        <f>F32+F35+F36+F39</f>
        <v>0.94510360000000004</v>
      </c>
      <c r="G42" s="183">
        <f t="shared" ref="G42:I42" si="47">G32+G35+G36+G39</f>
        <v>0.89085847161165888</v>
      </c>
      <c r="H42" s="183">
        <f t="shared" si="47"/>
        <v>3.9134330000000004</v>
      </c>
      <c r="I42" s="183">
        <f t="shared" si="47"/>
        <v>4.1822396045379602</v>
      </c>
      <c r="J42" s="89">
        <f t="shared" ref="J42" si="48">H42/F42</f>
        <v>4.1407449934589184</v>
      </c>
      <c r="K42" s="89">
        <f t="shared" ref="K42" si="49">I42/G42</f>
        <v>4.6946173133111015</v>
      </c>
      <c r="L42" s="49"/>
      <c r="M42" s="88">
        <f t="shared" ref="M42" si="50">C42/F42</f>
        <v>181.68770510450202</v>
      </c>
      <c r="N42" s="33">
        <f t="shared" ref="N42" si="51">D42/G42</f>
        <v>426.8289565305534</v>
      </c>
      <c r="O42" s="254">
        <f t="shared" ref="O42" si="52">C42/H42</f>
        <v>43.878023252219528</v>
      </c>
      <c r="P42" s="254">
        <f t="shared" ref="P42" si="53">D42/I42</f>
        <v>90.918796580143834</v>
      </c>
      <c r="Q42" s="73"/>
      <c r="R42" s="33">
        <f t="shared" ref="R42" si="54">100*M42/106</f>
        <v>171.40349538160567</v>
      </c>
      <c r="S42" s="33">
        <f t="shared" ref="S42" si="55">100*N42*(90/130)/106</f>
        <v>278.77072632619598</v>
      </c>
      <c r="T42" s="89">
        <f t="shared" ref="T42:T43" si="56">100*O42/106</f>
        <v>41.394361558697668</v>
      </c>
      <c r="U42" s="89">
        <f t="shared" ref="U42:U43" si="57">100*P42*(90/130)/106</f>
        <v>59.38092664886026</v>
      </c>
      <c r="V42" s="32" t="s">
        <v>34</v>
      </c>
      <c r="W42" s="52">
        <f t="shared" ref="W42" si="58">S42/R42</f>
        <v>1.6264004751218892</v>
      </c>
      <c r="X42" s="57">
        <f t="shared" ref="X42" si="59">U42/T42</f>
        <v>1.4345172727125515</v>
      </c>
      <c r="Y42" s="32" t="s">
        <v>220</v>
      </c>
    </row>
    <row r="43" spans="1:25">
      <c r="A43" s="99" t="s">
        <v>35</v>
      </c>
      <c r="B43" s="49"/>
      <c r="C43" s="47">
        <f>C32+C35+C36</f>
        <v>166.47450905000329</v>
      </c>
      <c r="D43" s="47">
        <f>D32+D35+D36</f>
        <v>369.60147044208537</v>
      </c>
      <c r="E43" s="49"/>
      <c r="F43" s="183">
        <f>F32+F35+F36</f>
        <v>0.91617960000000009</v>
      </c>
      <c r="G43" s="183">
        <f>G32+G35+G36</f>
        <v>0.87112363166109885</v>
      </c>
      <c r="H43" s="183">
        <f>H32+H35+H36</f>
        <v>3.8307930000000003</v>
      </c>
      <c r="I43" s="183">
        <f>I32+I35+I36</f>
        <v>4.0839931243515002</v>
      </c>
      <c r="J43" s="89">
        <f t="shared" ref="J43" si="60">H43/F43</f>
        <v>4.1812686071595566</v>
      </c>
      <c r="K43" s="89">
        <f t="shared" ref="K43" si="61">I43/G43</f>
        <v>4.6881900294266536</v>
      </c>
      <c r="L43" s="49"/>
      <c r="M43" s="88">
        <f t="shared" ref="M43" si="62">C43/F43</f>
        <v>181.70510350809303</v>
      </c>
      <c r="N43" s="33">
        <f t="shared" ref="N43" si="63">D43/G43</f>
        <v>424.28130406393888</v>
      </c>
      <c r="O43" s="254">
        <f t="shared" ref="O43" si="64">C43/H43</f>
        <v>43.456931515224987</v>
      </c>
      <c r="P43" s="254">
        <f t="shared" ref="P43" si="65">D43/I43</f>
        <v>90.500022695502125</v>
      </c>
      <c r="Q43" s="73"/>
      <c r="R43" s="33">
        <f t="shared" ref="R43:R44" si="66">100*M43/106</f>
        <v>171.41990896989907</v>
      </c>
      <c r="S43" s="33">
        <f t="shared" ref="S43:S45" si="67">100*N43*(90/130)/106</f>
        <v>277.10680236396587</v>
      </c>
      <c r="T43" s="89">
        <f t="shared" si="56"/>
        <v>40.997105203042437</v>
      </c>
      <c r="U43" s="89">
        <f t="shared" si="57"/>
        <v>59.107416854827214</v>
      </c>
      <c r="V43" s="32" t="s">
        <v>306</v>
      </c>
      <c r="W43" s="52">
        <f t="shared" ref="W43" si="68">S43/R43</f>
        <v>1.6165380324208733</v>
      </c>
      <c r="X43" s="57">
        <f t="shared" ref="X43" si="69">U43/T43</f>
        <v>1.441746107733499</v>
      </c>
      <c r="Y43" s="32" t="s">
        <v>307</v>
      </c>
    </row>
    <row r="44" spans="1:25">
      <c r="A44" s="221" t="s">
        <v>332</v>
      </c>
      <c r="B44" s="49"/>
      <c r="C44" s="47">
        <f>C34</f>
        <v>5.23919511999995</v>
      </c>
      <c r="D44" s="47">
        <f>D30+D31+D33+D34</f>
        <v>55.510034305261399</v>
      </c>
      <c r="E44" s="49"/>
      <c r="F44" s="253">
        <f>F30+F31+F33+F34</f>
        <v>2.8923999999999998E-2</v>
      </c>
      <c r="G44" s="183">
        <f>G30+G31+G33+G34</f>
        <v>9.9025180099483009E-2</v>
      </c>
      <c r="H44" s="253">
        <f>H30+H31+H33+H34</f>
        <v>8.2640000000000005E-2</v>
      </c>
      <c r="I44" s="222">
        <f>I30+I31+I33+I34</f>
        <v>0.42673260088348003</v>
      </c>
      <c r="J44" s="89">
        <f t="shared" ref="J44:J45" si="70">H44/F44</f>
        <v>2.8571428571428577</v>
      </c>
      <c r="K44" s="89">
        <f t="shared" ref="K44:K45" si="71">I44/G44</f>
        <v>4.3093342567493895</v>
      </c>
      <c r="L44" s="49"/>
      <c r="M44" s="88">
        <f t="shared" ref="M44:M45" si="72">C44/F44</f>
        <v>181.13660351265213</v>
      </c>
      <c r="N44" s="33">
        <f t="shared" ref="N44:N45" si="73">D44/G44</f>
        <v>560.56484067481347</v>
      </c>
      <c r="O44" s="254">
        <f t="shared" ref="O44:O45" si="74">C44/H44</f>
        <v>63.397811229428243</v>
      </c>
      <c r="P44" s="254">
        <f t="shared" ref="P44:P45" si="75">D44/I44</f>
        <v>130.08154097047415</v>
      </c>
      <c r="Q44" s="73"/>
      <c r="R44" s="33">
        <f t="shared" si="66"/>
        <v>170.88358821948316</v>
      </c>
      <c r="S44" s="33">
        <f t="shared" si="67"/>
        <v>366.11636909095216</v>
      </c>
      <c r="T44" s="89">
        <f t="shared" ref="T44:T45" si="76">100*O44/106</f>
        <v>59.809255876819101</v>
      </c>
      <c r="U44" s="89">
        <f t="shared" ref="U44:U45" si="77">100*P44*(90/130)/106</f>
        <v>84.958916453865555</v>
      </c>
      <c r="V44" s="220" t="s">
        <v>332</v>
      </c>
      <c r="W44" s="230">
        <f t="shared" ref="W44:W45" si="78">S44/R44</f>
        <v>2.1424899424555135</v>
      </c>
      <c r="X44" s="229">
        <f t="shared" ref="X44:X45" si="79">U44/T44</f>
        <v>1.4204978010233693</v>
      </c>
    </row>
    <row r="45" spans="1:25">
      <c r="A45" s="221" t="s">
        <v>333</v>
      </c>
      <c r="B45" s="49"/>
      <c r="C45" s="47">
        <v>0</v>
      </c>
      <c r="D45" s="47">
        <f>D37+D38</f>
        <v>35.659946289996412</v>
      </c>
      <c r="E45" s="49"/>
      <c r="F45" s="226">
        <v>0</v>
      </c>
      <c r="G45" s="183">
        <f>G37+G38</f>
        <v>2.0229110214232002E-2</v>
      </c>
      <c r="H45" s="226">
        <v>0</v>
      </c>
      <c r="I45" s="222">
        <f>I37+I38</f>
        <v>6.5713610839839995E-2</v>
      </c>
      <c r="J45" s="89"/>
      <c r="K45" s="89">
        <f t="shared" si="71"/>
        <v>3.2484676856230581</v>
      </c>
      <c r="L45" s="49"/>
      <c r="M45" s="88"/>
      <c r="N45" s="33">
        <f t="shared" si="73"/>
        <v>1762.8035001217299</v>
      </c>
      <c r="O45" s="254"/>
      <c r="P45" s="254">
        <f t="shared" si="75"/>
        <v>542.65692958051488</v>
      </c>
      <c r="Q45" s="73"/>
      <c r="R45" s="33"/>
      <c r="S45" s="33">
        <f t="shared" si="67"/>
        <v>1151.3230407181111</v>
      </c>
      <c r="T45" s="89"/>
      <c r="U45" s="89">
        <f t="shared" si="77"/>
        <v>354.42034587987189</v>
      </c>
      <c r="V45" s="220" t="s">
        <v>333</v>
      </c>
      <c r="W45" s="230"/>
      <c r="X45" s="229"/>
    </row>
    <row r="46" spans="1:25">
      <c r="A46" s="49"/>
      <c r="B46" s="49"/>
      <c r="C46" s="48"/>
      <c r="D46" s="49"/>
      <c r="E46" s="49"/>
      <c r="F46" s="49"/>
      <c r="G46" s="49"/>
      <c r="H46" s="49"/>
      <c r="I46" s="49"/>
      <c r="J46" s="49"/>
      <c r="K46" s="49"/>
      <c r="L46" s="49"/>
      <c r="M46" s="88"/>
      <c r="Q46" s="73"/>
      <c r="T46" s="49"/>
      <c r="U46" s="49"/>
    </row>
    <row r="47" spans="1:25" ht="18">
      <c r="A47" s="49"/>
      <c r="B47" s="49"/>
      <c r="C47" s="192" t="s">
        <v>432</v>
      </c>
      <c r="D47" s="49"/>
      <c r="E47" s="49"/>
      <c r="F47" s="49"/>
      <c r="G47" s="49"/>
      <c r="H47" s="49"/>
      <c r="I47" s="49"/>
      <c r="J47" s="49"/>
      <c r="K47" s="49"/>
      <c r="L47" s="49"/>
      <c r="M47" s="88"/>
      <c r="Q47" s="73"/>
      <c r="W47" s="62" t="s">
        <v>21</v>
      </c>
    </row>
    <row r="48" spans="1:25" ht="18">
      <c r="A48" s="49"/>
      <c r="B48" s="49"/>
      <c r="C48" s="192"/>
      <c r="D48" s="49"/>
      <c r="E48" s="49"/>
      <c r="F48" s="186" t="s">
        <v>111</v>
      </c>
      <c r="G48" s="49"/>
      <c r="H48" s="187" t="s">
        <v>216</v>
      </c>
      <c r="I48" s="49"/>
      <c r="J48" s="49" t="s">
        <v>217</v>
      </c>
      <c r="K48" s="49"/>
      <c r="L48" s="49"/>
      <c r="M48" s="88" t="s">
        <v>218</v>
      </c>
      <c r="Q48" s="73"/>
      <c r="R48" s="146" t="s">
        <v>225</v>
      </c>
      <c r="S48" s="33"/>
      <c r="T48" s="33"/>
      <c r="U48" s="33"/>
      <c r="W48" s="35" t="s">
        <v>221</v>
      </c>
    </row>
    <row r="49" spans="1:28">
      <c r="A49" s="49"/>
      <c r="B49" s="49"/>
      <c r="C49" s="188" t="s">
        <v>267</v>
      </c>
      <c r="D49" s="49"/>
      <c r="E49" s="49"/>
      <c r="F49" s="186" t="s">
        <v>222</v>
      </c>
      <c r="G49" s="49"/>
      <c r="H49" s="189" t="s">
        <v>270</v>
      </c>
      <c r="I49" s="49"/>
      <c r="J49" s="49" t="s">
        <v>224</v>
      </c>
      <c r="K49" s="49"/>
      <c r="L49" s="49"/>
      <c r="M49" s="88" t="s">
        <v>116</v>
      </c>
      <c r="O49" s="33" t="s">
        <v>117</v>
      </c>
      <c r="Q49" s="73"/>
      <c r="R49" s="33" t="s">
        <v>116</v>
      </c>
      <c r="S49" s="33"/>
      <c r="T49" s="33" t="s">
        <v>117</v>
      </c>
      <c r="U49" s="33"/>
      <c r="W49" s="42" t="s">
        <v>118</v>
      </c>
      <c r="Z49" t="s">
        <v>422</v>
      </c>
    </row>
    <row r="50" spans="1:28">
      <c r="A50" s="49"/>
      <c r="B50" s="49"/>
      <c r="C50" s="190">
        <v>1860</v>
      </c>
      <c r="D50" s="191">
        <v>1870</v>
      </c>
      <c r="E50" s="49"/>
      <c r="F50" s="190">
        <v>1860</v>
      </c>
      <c r="G50" s="191">
        <v>1870</v>
      </c>
      <c r="H50" s="190">
        <v>1860</v>
      </c>
      <c r="I50" s="191">
        <v>1870</v>
      </c>
      <c r="J50" s="190">
        <v>1860</v>
      </c>
      <c r="K50" s="191">
        <v>1870</v>
      </c>
      <c r="L50" s="49"/>
      <c r="M50" s="190">
        <v>1860</v>
      </c>
      <c r="N50" s="44">
        <v>1870</v>
      </c>
      <c r="O50" s="43">
        <v>1860</v>
      </c>
      <c r="P50" s="44">
        <v>1870</v>
      </c>
      <c r="Q50" s="73"/>
      <c r="R50" s="43">
        <v>1860</v>
      </c>
      <c r="S50" s="44">
        <v>1870</v>
      </c>
      <c r="T50" s="217">
        <v>1860</v>
      </c>
      <c r="U50" s="218">
        <v>1870</v>
      </c>
      <c r="W50" s="45" t="s">
        <v>416</v>
      </c>
      <c r="X50" s="46" t="s">
        <v>417</v>
      </c>
      <c r="Z50" s="3" t="s">
        <v>420</v>
      </c>
      <c r="AA50" s="3" t="s">
        <v>421</v>
      </c>
    </row>
    <row r="51" spans="1:28" ht="15">
      <c r="A51" s="94" t="s">
        <v>271</v>
      </c>
      <c r="B51" s="94"/>
      <c r="C51" s="48">
        <f>C11+C30</f>
        <v>589.93511729806949</v>
      </c>
      <c r="D51" s="48">
        <f>D11+D30</f>
        <v>1081.8164993368364</v>
      </c>
      <c r="E51" s="244" t="s">
        <v>11</v>
      </c>
      <c r="F51" s="50">
        <f>F11+F30</f>
        <v>0.66734580999996573</v>
      </c>
      <c r="G51" s="50">
        <f>G11+G30</f>
        <v>0.78093020409396308</v>
      </c>
      <c r="H51" s="50">
        <f>'Regional Income 1860 by type'!O37</f>
        <v>3.1177708000002169</v>
      </c>
      <c r="I51" s="50">
        <f>'Regional Income 1870 by type'!U45/1000000</f>
        <v>3.4728516713947797</v>
      </c>
      <c r="J51" s="89">
        <f>H51/F51</f>
        <v>4.6718968685820883</v>
      </c>
      <c r="K51" s="89">
        <f t="shared" ref="K51:K61" si="80">I51/G51</f>
        <v>4.4470704977072693</v>
      </c>
      <c r="L51" s="49"/>
      <c r="M51" s="88">
        <f>C51/F51</f>
        <v>884.00212971757446</v>
      </c>
      <c r="N51" s="33">
        <f t="shared" si="3"/>
        <v>1385.2921729310781</v>
      </c>
      <c r="O51" s="237">
        <f>C51/H51</f>
        <v>189.21696145785586</v>
      </c>
      <c r="P51" s="237">
        <f>D51/I51</f>
        <v>311.50668145361738</v>
      </c>
      <c r="Q51" s="73"/>
      <c r="R51" s="33">
        <f>100*M51/106</f>
        <v>833.96427331846644</v>
      </c>
      <c r="S51" s="33">
        <f>100*N51*(90/130)/106</f>
        <v>904.76266737153139</v>
      </c>
      <c r="T51" s="235">
        <f>100*O51/106</f>
        <v>178.50656741307156</v>
      </c>
      <c r="U51" s="235">
        <f>100*P51*(90/130)/106</f>
        <v>203.45138846752951</v>
      </c>
      <c r="V51" s="59" t="s">
        <v>271</v>
      </c>
      <c r="W51" s="52">
        <f t="shared" ref="W51:W59" si="81">S51/R51</f>
        <v>1.084893797394159</v>
      </c>
      <c r="X51" s="52">
        <f t="shared" ref="X51:X59" si="82">U51/T51</f>
        <v>1.1397417552528171</v>
      </c>
      <c r="Z51" s="230">
        <f>100*((EXP(LN(W51)/10))-1)</f>
        <v>0.81814969727758147</v>
      </c>
      <c r="AA51" s="230">
        <f>100*((EXP(LN(X51)/10))-1)</f>
        <v>1.3166090264076002</v>
      </c>
    </row>
    <row r="52" spans="1:28" ht="15">
      <c r="A52" s="94" t="s">
        <v>243</v>
      </c>
      <c r="B52" s="94"/>
      <c r="C52" s="48">
        <f>C12+C31</f>
        <v>1452.6283908695291</v>
      </c>
      <c r="D52" s="48">
        <f>D12+D31</f>
        <v>2668.2051885254982</v>
      </c>
      <c r="E52" s="244" t="s">
        <v>11</v>
      </c>
      <c r="F52" s="50">
        <f>F12+F31</f>
        <v>1.498550559999952</v>
      </c>
      <c r="G52" s="50">
        <f>G12+G31</f>
        <v>1.8781434139408999</v>
      </c>
      <c r="H52" s="50">
        <f>'Regional Income 1860 by type'!O38</f>
        <v>7.4328767899973549</v>
      </c>
      <c r="I52" s="50">
        <f>'Regional Income 1870 by type'!U46/1000000</f>
        <v>8.7768459581456</v>
      </c>
      <c r="J52" s="89">
        <f t="shared" ref="J52:J61" si="83">H52/F52</f>
        <v>4.9600440508310868</v>
      </c>
      <c r="K52" s="89">
        <f t="shared" si="80"/>
        <v>4.6731500336969392</v>
      </c>
      <c r="L52" s="49"/>
      <c r="M52" s="88">
        <f t="shared" ref="M52:M61" si="84">C52/F52</f>
        <v>969.3556091090951</v>
      </c>
      <c r="N52" s="33">
        <f t="shared" si="3"/>
        <v>1420.6610468190047</v>
      </c>
      <c r="O52" s="237">
        <f t="shared" ref="O52:P61" si="85">C52/H52</f>
        <v>195.43286292924628</v>
      </c>
      <c r="P52" s="237">
        <f t="shared" si="85"/>
        <v>304.0050151557229</v>
      </c>
      <c r="Q52" s="73"/>
      <c r="R52" s="33">
        <f t="shared" ref="R52:R61" si="86">100*M52/106</f>
        <v>914.48642368782555</v>
      </c>
      <c r="S52" s="33">
        <f t="shared" ref="S52:S59" si="87">100*N52*(90/130)/106</f>
        <v>927.86280271197688</v>
      </c>
      <c r="T52" s="235">
        <f t="shared" ref="T52:T61" si="88">100*O52/106</f>
        <v>184.37062540494932</v>
      </c>
      <c r="U52" s="235">
        <f t="shared" ref="U52:U59" si="89">100*P52*(90/130)/106</f>
        <v>198.55189669096561</v>
      </c>
      <c r="V52" s="59" t="s">
        <v>243</v>
      </c>
      <c r="W52" s="52">
        <f t="shared" si="81"/>
        <v>1.0146272035075259</v>
      </c>
      <c r="X52" s="52">
        <f t="shared" si="82"/>
        <v>1.076917194671704</v>
      </c>
      <c r="Z52" s="230">
        <f t="shared" ref="Z52:Z57" si="90">100*((EXP(LN(W52)/10))-1)</f>
        <v>0.14531806294331151</v>
      </c>
      <c r="AA52" s="230">
        <f t="shared" ref="AA52:AA57" si="91">100*((EXP(LN(X52)/10))-1)</f>
        <v>0.74377748590206405</v>
      </c>
    </row>
    <row r="53" spans="1:28" ht="15">
      <c r="A53" s="94" t="s">
        <v>244</v>
      </c>
      <c r="B53" s="94"/>
      <c r="C53" s="48">
        <f>C13+C32</f>
        <v>718.51800676432833</v>
      </c>
      <c r="D53" s="48">
        <f>D13+D32</f>
        <v>836.8037361219167</v>
      </c>
      <c r="E53" s="244" t="s">
        <v>11</v>
      </c>
      <c r="F53" s="50">
        <f>F13+F32</f>
        <v>1.1065384799999778</v>
      </c>
      <c r="G53" s="50">
        <f>G13+G32</f>
        <v>1.1560593143005999</v>
      </c>
      <c r="H53" s="50">
        <f>'Regional Income 1860 by type'!O39</f>
        <v>5.3417097500000121</v>
      </c>
      <c r="I53" s="50">
        <f>'Regional Income 1870 by type'!U47/1000000</f>
        <v>5.8365633224180007</v>
      </c>
      <c r="J53" s="89">
        <f t="shared" si="83"/>
        <v>4.8274053243951531</v>
      </c>
      <c r="K53" s="89">
        <f t="shared" si="80"/>
        <v>5.0486711626462188</v>
      </c>
      <c r="L53" s="49"/>
      <c r="M53" s="88">
        <f t="shared" si="84"/>
        <v>649.33847286028663</v>
      </c>
      <c r="N53" s="33">
        <f t="shared" si="3"/>
        <v>723.84152419391341</v>
      </c>
      <c r="O53" s="237">
        <f t="shared" si="85"/>
        <v>134.51086644389966</v>
      </c>
      <c r="P53" s="237">
        <f t="shared" si="85"/>
        <v>143.37268181564789</v>
      </c>
      <c r="Q53" s="73"/>
      <c r="R53" s="33">
        <f t="shared" si="86"/>
        <v>612.58346496253455</v>
      </c>
      <c r="S53" s="33">
        <f t="shared" si="87"/>
        <v>472.75571246336864</v>
      </c>
      <c r="T53" s="235">
        <f t="shared" si="88"/>
        <v>126.89704381499966</v>
      </c>
      <c r="U53" s="235">
        <f t="shared" si="89"/>
        <v>93.639632535619086</v>
      </c>
      <c r="V53" s="59" t="s">
        <v>244</v>
      </c>
      <c r="W53" s="145">
        <f t="shared" si="81"/>
        <v>0.77174089655241063</v>
      </c>
      <c r="X53" s="145">
        <f t="shared" si="82"/>
        <v>0.73791815569899477</v>
      </c>
      <c r="Z53" s="230">
        <f t="shared" si="90"/>
        <v>-2.557784103991656</v>
      </c>
      <c r="AA53" s="230">
        <f t="shared" si="91"/>
        <v>-2.9935035549311428</v>
      </c>
    </row>
    <row r="54" spans="1:28" ht="15">
      <c r="A54" s="94" t="s">
        <v>245</v>
      </c>
      <c r="B54" s="94"/>
      <c r="C54" s="48">
        <f>C14+C33</f>
        <v>1000.2114287580075</v>
      </c>
      <c r="D54" s="48">
        <f>D14+D33</f>
        <v>2012.9070969199747</v>
      </c>
      <c r="E54" s="244" t="s">
        <v>11</v>
      </c>
      <c r="F54" s="50">
        <f>F14+F33</f>
        <v>1.3182299799999995</v>
      </c>
      <c r="G54" s="50">
        <f>G14+G33</f>
        <v>1.8274892496491999</v>
      </c>
      <c r="H54" s="50">
        <f>'Regional Income 1860 by type'!O41</f>
        <v>6.8962973600018547</v>
      </c>
      <c r="I54" s="50">
        <f>'Regional Income 1870 by type'!U48/1000000</f>
        <v>9.0846756282958996</v>
      </c>
      <c r="J54" s="89">
        <f t="shared" si="83"/>
        <v>5.2314827189727984</v>
      </c>
      <c r="K54" s="89">
        <f t="shared" si="80"/>
        <v>4.9711239779056271</v>
      </c>
      <c r="L54" s="49"/>
      <c r="M54" s="88">
        <f t="shared" si="84"/>
        <v>758.7533616539414</v>
      </c>
      <c r="N54" s="33">
        <f t="shared" si="3"/>
        <v>1101.4604311934349</v>
      </c>
      <c r="O54" s="237">
        <f t="shared" si="85"/>
        <v>145.03600650389276</v>
      </c>
      <c r="P54" s="237">
        <f t="shared" si="85"/>
        <v>221.57170814667327</v>
      </c>
      <c r="Q54" s="73"/>
      <c r="R54" s="33">
        <f t="shared" si="86"/>
        <v>715.80505816409561</v>
      </c>
      <c r="S54" s="33">
        <f t="shared" si="87"/>
        <v>719.3863483846817</v>
      </c>
      <c r="T54" s="235">
        <f t="shared" si="88"/>
        <v>136.8264212300875</v>
      </c>
      <c r="U54" s="235">
        <f t="shared" si="89"/>
        <v>144.7130169317895</v>
      </c>
      <c r="V54" s="59" t="s">
        <v>245</v>
      </c>
      <c r="W54" s="52">
        <f t="shared" si="81"/>
        <v>1.005003164171222</v>
      </c>
      <c r="X54" s="52">
        <f t="shared" si="82"/>
        <v>1.0576394210328712</v>
      </c>
      <c r="Z54" s="230">
        <f t="shared" si="90"/>
        <v>4.9919354916583281E-2</v>
      </c>
      <c r="AA54" s="230">
        <f t="shared" si="91"/>
        <v>0.56196778265582559</v>
      </c>
    </row>
    <row r="55" spans="1:28" ht="15">
      <c r="A55" s="94" t="s">
        <v>261</v>
      </c>
      <c r="B55" s="94"/>
      <c r="C55" s="48">
        <f>C15+C34</f>
        <v>315.77448860439006</v>
      </c>
      <c r="D55" s="48">
        <f>D15+D34</f>
        <v>876.89897109004244</v>
      </c>
      <c r="E55" s="244" t="s">
        <v>11</v>
      </c>
      <c r="F55" s="50">
        <f>F15+F34</f>
        <v>0.41507706000000361</v>
      </c>
      <c r="G55" s="50">
        <f>G15+G34</f>
        <v>0.76603295083622003</v>
      </c>
      <c r="H55" s="50">
        <f>'Regional Income 1860 by type'!O42</f>
        <v>2.1113868799997855</v>
      </c>
      <c r="I55" s="50">
        <f>'Regional Income 1870 by type'!U49/1000000</f>
        <v>3.8443529095461999</v>
      </c>
      <c r="J55" s="89">
        <f t="shared" si="83"/>
        <v>5.0867346896977805</v>
      </c>
      <c r="K55" s="89">
        <f t="shared" si="80"/>
        <v>5.0185215992988441</v>
      </c>
      <c r="L55" s="49"/>
      <c r="M55" s="88">
        <f t="shared" si="84"/>
        <v>760.76111892183906</v>
      </c>
      <c r="N55" s="33">
        <f t="shared" si="3"/>
        <v>1144.7274821961619</v>
      </c>
      <c r="O55" s="237">
        <f t="shared" si="85"/>
        <v>149.55785299017398</v>
      </c>
      <c r="P55" s="237">
        <f t="shared" si="85"/>
        <v>228.10053908228588</v>
      </c>
      <c r="Q55" s="73"/>
      <c r="R55" s="33">
        <f t="shared" si="86"/>
        <v>717.69916879418781</v>
      </c>
      <c r="S55" s="33">
        <f t="shared" si="87"/>
        <v>747.64494483058468</v>
      </c>
      <c r="T55" s="235">
        <f t="shared" si="88"/>
        <v>141.09231414167357</v>
      </c>
      <c r="U55" s="235">
        <f t="shared" si="89"/>
        <v>148.977130024715</v>
      </c>
      <c r="V55" s="59" t="s">
        <v>261</v>
      </c>
      <c r="W55" s="52">
        <f t="shared" si="81"/>
        <v>1.0417246909825868</v>
      </c>
      <c r="X55" s="52">
        <f t="shared" si="82"/>
        <v>1.0558840921350552</v>
      </c>
      <c r="Z55" s="230">
        <f t="shared" si="90"/>
        <v>0.40961359574824829</v>
      </c>
      <c r="AA55" s="230">
        <f t="shared" si="91"/>
        <v>0.54526537002277387</v>
      </c>
    </row>
    <row r="56" spans="1:28" ht="15">
      <c r="A56" s="94" t="s">
        <v>423</v>
      </c>
      <c r="B56" s="94"/>
      <c r="C56" s="48">
        <f>C16+C35</f>
        <v>568.96703850926701</v>
      </c>
      <c r="D56" s="48">
        <f>D16+D35</f>
        <v>770.99077513549673</v>
      </c>
      <c r="E56" s="244" t="s">
        <v>11</v>
      </c>
      <c r="F56" s="50">
        <f>F16+F35</f>
        <v>0.80855755999999079</v>
      </c>
      <c r="G56" s="50">
        <f>G16+G35</f>
        <v>0.84918247999999696</v>
      </c>
      <c r="H56" s="50">
        <f>'Regional Income 1860 by type'!O43</f>
        <v>4.006917450000433</v>
      </c>
      <c r="I56" s="50">
        <f>'Regional Income 1870 by type'!U50/1000000</f>
        <v>4.3970228239130007</v>
      </c>
      <c r="J56" s="89">
        <f t="shared" si="83"/>
        <v>4.9556366154074158</v>
      </c>
      <c r="K56" s="89">
        <f t="shared" si="80"/>
        <v>5.1779481177155429</v>
      </c>
      <c r="L56" s="49"/>
      <c r="M56" s="88">
        <f t="shared" si="84"/>
        <v>703.68155176147695</v>
      </c>
      <c r="N56" s="33">
        <f t="shared" si="3"/>
        <v>907.92119867510633</v>
      </c>
      <c r="O56" s="237">
        <f t="shared" si="85"/>
        <v>141.99619672953472</v>
      </c>
      <c r="P56" s="237">
        <f t="shared" si="85"/>
        <v>175.34381921842657</v>
      </c>
      <c r="Q56" s="73"/>
      <c r="R56" s="33">
        <f t="shared" si="86"/>
        <v>663.85052052969536</v>
      </c>
      <c r="S56" s="33">
        <f t="shared" si="87"/>
        <v>592.98191495471383</v>
      </c>
      <c r="T56" s="235">
        <f t="shared" si="88"/>
        <v>133.95867615993842</v>
      </c>
      <c r="U56" s="235">
        <f t="shared" si="89"/>
        <v>114.52063664483593</v>
      </c>
      <c r="V56" s="59" t="s">
        <v>423</v>
      </c>
      <c r="W56" s="145">
        <f t="shared" si="81"/>
        <v>0.89324613993156998</v>
      </c>
      <c r="X56" s="145">
        <f t="shared" si="82"/>
        <v>0.85489525522113508</v>
      </c>
      <c r="Z56" s="230">
        <f t="shared" si="90"/>
        <v>-1.1225825207997531</v>
      </c>
      <c r="AA56" s="230">
        <f t="shared" si="91"/>
        <v>-1.5555378244410778</v>
      </c>
    </row>
    <row r="57" spans="1:28" ht="15">
      <c r="A57" s="94" t="s">
        <v>424</v>
      </c>
      <c r="B57" s="94"/>
      <c r="C57" s="48">
        <f>C17+C36</f>
        <v>315.01724618753883</v>
      </c>
      <c r="D57" s="48">
        <f>D17+D36</f>
        <v>406.81371192689204</v>
      </c>
      <c r="E57" s="244" t="s">
        <v>11</v>
      </c>
      <c r="F57" s="50">
        <f>F17+F36</f>
        <v>0.36718907000000073</v>
      </c>
      <c r="G57" s="50">
        <f>G17+G36</f>
        <v>0.41492687062840006</v>
      </c>
      <c r="H57" s="50">
        <f>'Regional Income 1860 by type'!O44</f>
        <v>1.7359072899999459</v>
      </c>
      <c r="I57" s="50">
        <f>'Regional Income 1870 by type'!U51/1000000</f>
        <v>2.0231706563795</v>
      </c>
      <c r="J57" s="89">
        <f t="shared" si="83"/>
        <v>4.727557086598309</v>
      </c>
      <c r="K57" s="89">
        <f t="shared" si="80"/>
        <v>4.8759692360136633</v>
      </c>
      <c r="L57" s="49"/>
      <c r="M57" s="88">
        <f t="shared" si="84"/>
        <v>857.91564053782486</v>
      </c>
      <c r="N57" s="33">
        <f t="shared" si="3"/>
        <v>980.446774417813</v>
      </c>
      <c r="O57" s="237">
        <f t="shared" si="85"/>
        <v>181.47123870166399</v>
      </c>
      <c r="P57" s="237">
        <f t="shared" si="85"/>
        <v>201.07730934319324</v>
      </c>
      <c r="Q57" s="73"/>
      <c r="R57" s="33">
        <f t="shared" si="86"/>
        <v>809.35437786587249</v>
      </c>
      <c r="S57" s="33">
        <f t="shared" si="87"/>
        <v>640.34985266765727</v>
      </c>
      <c r="T57" s="235">
        <f t="shared" si="88"/>
        <v>171.19928179402265</v>
      </c>
      <c r="U57" s="235">
        <f t="shared" si="89"/>
        <v>131.32770566681705</v>
      </c>
      <c r="V57" s="59" t="s">
        <v>424</v>
      </c>
      <c r="W57" s="145">
        <f t="shared" si="81"/>
        <v>0.79118599982883775</v>
      </c>
      <c r="X57" s="145">
        <f t="shared" si="82"/>
        <v>0.76710430260346052</v>
      </c>
      <c r="Z57" s="230">
        <f t="shared" si="90"/>
        <v>-2.3150048280091928</v>
      </c>
      <c r="AA57" s="230">
        <f t="shared" si="91"/>
        <v>-2.6164859479026137</v>
      </c>
    </row>
    <row r="58" spans="1:28" ht="15">
      <c r="A58" s="94" t="s">
        <v>256</v>
      </c>
      <c r="B58" s="94"/>
      <c r="C58" s="48">
        <f>C18+C37</f>
        <v>42.159181333250999</v>
      </c>
      <c r="D58" s="48">
        <f>D18+D37</f>
        <v>90.10351339431466</v>
      </c>
      <c r="E58" s="244" t="s">
        <v>11</v>
      </c>
      <c r="F58" s="50">
        <f>F18+F37</f>
        <v>4.2000000000000003E-2</v>
      </c>
      <c r="G58" s="50">
        <f>G18+G37</f>
        <v>8.4657370216371999E-2</v>
      </c>
      <c r="H58" s="50">
        <f>'Regional Income 1860 by type'!O45</f>
        <v>0.17365929999999705</v>
      </c>
      <c r="I58" s="50">
        <f>'Regional Income 1870 by type'!U52/1000000</f>
        <v>0.30754556095119995</v>
      </c>
      <c r="J58" s="89">
        <f t="shared" si="83"/>
        <v>4.1347452380951673</v>
      </c>
      <c r="K58" s="89">
        <f t="shared" si="80"/>
        <v>3.6328267717879488</v>
      </c>
      <c r="L58" s="49"/>
      <c r="M58" s="88">
        <f t="shared" si="84"/>
        <v>1003.7900317440714</v>
      </c>
      <c r="N58" s="33">
        <f t="shared" si="3"/>
        <v>1064.3315893704601</v>
      </c>
      <c r="O58" s="237">
        <f t="shared" si="85"/>
        <v>242.76949943511067</v>
      </c>
      <c r="P58" s="237">
        <f t="shared" si="85"/>
        <v>292.97614673948067</v>
      </c>
      <c r="Q58" s="73"/>
      <c r="R58" s="33">
        <f t="shared" si="86"/>
        <v>946.97172806044466</v>
      </c>
      <c r="S58" s="33">
        <f t="shared" si="87"/>
        <v>695.13674196909574</v>
      </c>
      <c r="T58" s="235">
        <f t="shared" si="88"/>
        <v>229.02782965576478</v>
      </c>
      <c r="U58" s="235">
        <f t="shared" si="89"/>
        <v>191.34871702868838</v>
      </c>
      <c r="V58" s="59" t="s">
        <v>256</v>
      </c>
      <c r="W58" s="52">
        <f t="shared" si="81"/>
        <v>0.73406282507805298</v>
      </c>
      <c r="X58" s="52">
        <f t="shared" si="82"/>
        <v>0.83548238358757909</v>
      </c>
      <c r="Y58" s="32" t="s">
        <v>119</v>
      </c>
      <c r="Z58" s="230">
        <f t="shared" ref="Z58:Z59" si="92">100*((EXP(LN(W58)/10))-1)</f>
        <v>-3.0443051670398846</v>
      </c>
      <c r="AA58" s="230">
        <f t="shared" ref="AA58:AA59" si="93">100*((EXP(LN(X58)/10))-1)</f>
        <v>-1.7814022010390729</v>
      </c>
      <c r="AB58" s="32" t="s">
        <v>119</v>
      </c>
    </row>
    <row r="59" spans="1:28" ht="15">
      <c r="A59" s="94" t="s">
        <v>264</v>
      </c>
      <c r="B59" s="94"/>
      <c r="C59" s="48">
        <f>C19+C38</f>
        <v>242.56330240092998</v>
      </c>
      <c r="D59" s="48">
        <f>D19+D38</f>
        <v>312.52473852060774</v>
      </c>
      <c r="E59" s="244" t="s">
        <v>11</v>
      </c>
      <c r="F59" s="50">
        <f>F19+F38</f>
        <v>0.12664056999999959</v>
      </c>
      <c r="G59" s="50">
        <f>G19+G38</f>
        <v>0.17391439112849</v>
      </c>
      <c r="H59" s="50">
        <f>'Regional Income 1860 by type'!O46</f>
        <v>0.43520532000001821</v>
      </c>
      <c r="I59" s="50">
        <f>'Regional Income 1870 by type'!U53/1000000</f>
        <v>0.66494287472533997</v>
      </c>
      <c r="J59" s="89">
        <f t="shared" si="83"/>
        <v>3.4365394912548135</v>
      </c>
      <c r="K59" s="89">
        <f t="shared" si="80"/>
        <v>3.8233919022496092</v>
      </c>
      <c r="L59" s="49"/>
      <c r="M59" s="88">
        <f t="shared" si="84"/>
        <v>1915.3680562313543</v>
      </c>
      <c r="N59" s="33">
        <f t="shared" si="3"/>
        <v>1797.003321534851</v>
      </c>
      <c r="O59" s="237">
        <f t="shared" si="85"/>
        <v>557.35371617451699</v>
      </c>
      <c r="P59" s="237">
        <f t="shared" si="85"/>
        <v>470.00238727228805</v>
      </c>
      <c r="Q59" s="73"/>
      <c r="R59" s="33">
        <f t="shared" si="86"/>
        <v>1806.950996444674</v>
      </c>
      <c r="S59" s="33">
        <f t="shared" si="87"/>
        <v>1173.6596439632553</v>
      </c>
      <c r="T59" s="235">
        <f t="shared" si="88"/>
        <v>525.80539261746878</v>
      </c>
      <c r="U59" s="235">
        <f t="shared" si="89"/>
        <v>306.96817746375854</v>
      </c>
      <c r="V59" s="59" t="s">
        <v>264</v>
      </c>
      <c r="W59" s="75">
        <f t="shared" si="81"/>
        <v>0.6495248882081075</v>
      </c>
      <c r="X59" s="75">
        <f t="shared" si="82"/>
        <v>0.58380568509513642</v>
      </c>
      <c r="Y59" s="32" t="s">
        <v>119</v>
      </c>
      <c r="Z59" s="230">
        <f t="shared" si="92"/>
        <v>-4.2233638671088762</v>
      </c>
      <c r="AA59" s="230">
        <f t="shared" si="93"/>
        <v>-5.2396116305328588</v>
      </c>
      <c r="AB59" s="32" t="s">
        <v>119</v>
      </c>
    </row>
    <row r="60" spans="1:28" ht="15">
      <c r="A60" s="94"/>
      <c r="B60" s="94"/>
      <c r="C60" s="49"/>
      <c r="D60" s="49"/>
      <c r="E60" s="49"/>
      <c r="F60" s="49"/>
      <c r="G60" s="49"/>
      <c r="H60" s="49"/>
      <c r="I60" s="49"/>
      <c r="J60" s="49"/>
      <c r="K60" s="89"/>
      <c r="L60" s="49"/>
      <c r="M60" s="88"/>
      <c r="O60" s="237"/>
      <c r="P60" s="237"/>
      <c r="Q60" s="73"/>
      <c r="R60" s="33"/>
      <c r="T60" s="235"/>
      <c r="U60" s="235"/>
      <c r="V60" s="59"/>
    </row>
    <row r="61" spans="1:28" ht="15">
      <c r="A61" s="94" t="s">
        <v>246</v>
      </c>
      <c r="B61" s="94"/>
      <c r="C61" s="48">
        <f>SUM(C51:C59)</f>
        <v>5245.7742007253119</v>
      </c>
      <c r="D61" s="233">
        <f>SUM(D51:D59)</f>
        <v>9057.0642309715804</v>
      </c>
      <c r="E61" s="244" t="s">
        <v>11</v>
      </c>
      <c r="F61" s="193">
        <f>SUM(F51:F59)</f>
        <v>6.3501290899998892</v>
      </c>
      <c r="G61" s="193">
        <f>SUM(G51:G59)</f>
        <v>7.9313362447941422</v>
      </c>
      <c r="H61" s="193">
        <f>SUM(H51:H59)</f>
        <v>31.251730939999621</v>
      </c>
      <c r="I61" s="193">
        <f>SUM(I51:I59)</f>
        <v>38.407971405769516</v>
      </c>
      <c r="J61" s="89">
        <f t="shared" si="83"/>
        <v>4.9214323830384004</v>
      </c>
      <c r="K61" s="89">
        <f t="shared" si="80"/>
        <v>4.8425599697628749</v>
      </c>
      <c r="L61" s="49"/>
      <c r="M61" s="88">
        <f t="shared" si="84"/>
        <v>826.08937966100518</v>
      </c>
      <c r="N61" s="33">
        <f t="shared" si="3"/>
        <v>1141.9342152990082</v>
      </c>
      <c r="O61" s="237">
        <f t="shared" si="85"/>
        <v>167.85547689491835</v>
      </c>
      <c r="P61" s="237">
        <f t="shared" si="85"/>
        <v>235.81209575705574</v>
      </c>
      <c r="Q61" s="73"/>
      <c r="R61" s="33">
        <f t="shared" si="86"/>
        <v>779.32960345377853</v>
      </c>
      <c r="S61" s="33">
        <f t="shared" ref="S61" si="94">100*N61*(90/130)/106</f>
        <v>745.82060505740742</v>
      </c>
      <c r="T61" s="235">
        <f t="shared" si="88"/>
        <v>158.35422348577202</v>
      </c>
      <c r="U61" s="235">
        <f t="shared" ref="U61" si="95">100*P61*(90/130)/106</f>
        <v>154.01370550170549</v>
      </c>
      <c r="V61" s="59" t="s">
        <v>246</v>
      </c>
      <c r="W61" s="229">
        <f t="shared" ref="W61" si="96">S61/R61</f>
        <v>0.95700279028556301</v>
      </c>
      <c r="X61" s="229">
        <f t="shared" ref="X61" si="97">U61/T61</f>
        <v>0.97258981864505478</v>
      </c>
      <c r="Z61" s="230">
        <f>100*((EXP(LN(W61)/10))-1)</f>
        <v>-0.43852537592738994</v>
      </c>
      <c r="AA61" s="230">
        <f>100*((EXP(LN(X61)/10))-1)</f>
        <v>-0.2775426288271543</v>
      </c>
    </row>
    <row r="62" spans="1:28" ht="15">
      <c r="A62" s="86" t="s">
        <v>123</v>
      </c>
      <c r="B62" s="49"/>
      <c r="C62" s="48">
        <f>C53+C56+C57</f>
        <v>1602.5022914611343</v>
      </c>
      <c r="D62" s="48">
        <f>D53+D56+D57</f>
        <v>2014.6082231843054</v>
      </c>
      <c r="E62" s="244" t="s">
        <v>11</v>
      </c>
      <c r="F62" s="193">
        <f>F53+F56+F57</f>
        <v>2.2822851099999695</v>
      </c>
      <c r="G62" s="193">
        <f>G53+G56+G57</f>
        <v>2.4201686649289966</v>
      </c>
      <c r="H62" s="193">
        <f>H53+H56+H57</f>
        <v>11.08453449000039</v>
      </c>
      <c r="I62" s="193">
        <f>I53+I56+I57</f>
        <v>12.256756802710502</v>
      </c>
      <c r="J62" s="89">
        <f t="shared" ref="J62" si="98">H62/F62</f>
        <v>4.856770278802081</v>
      </c>
      <c r="K62" s="89">
        <f t="shared" ref="K62" si="99">I62/G62</f>
        <v>5.064422567040423</v>
      </c>
      <c r="L62" s="49"/>
      <c r="M62" s="88">
        <f t="shared" ref="M62" si="100">C62/F62</f>
        <v>702.14816038525339</v>
      </c>
      <c r="N62" s="33">
        <f t="shared" ref="N62" si="101">D62/G62</f>
        <v>832.42471997025484</v>
      </c>
      <c r="O62" s="237">
        <f t="shared" ref="O62" si="102">C62/H62</f>
        <v>144.57100502567681</v>
      </c>
      <c r="P62" s="237">
        <f t="shared" ref="P62" si="103">D62/I62</f>
        <v>164.36715320473584</v>
      </c>
      <c r="Q62" s="73"/>
      <c r="R62" s="33">
        <f t="shared" ref="R62:R64" si="104">100*M62/106</f>
        <v>662.40392489174849</v>
      </c>
      <c r="S62" s="33">
        <f t="shared" ref="S62:S64" si="105">100*N62*(90/130)/106</f>
        <v>543.67361971932462</v>
      </c>
      <c r="T62" s="235">
        <f t="shared" ref="T62:T64" si="106">100*O62/106</f>
        <v>136.38774059026113</v>
      </c>
      <c r="U62" s="235">
        <f t="shared" ref="U62:U64" si="107">100*P62*(90/130)/106</f>
        <v>107.3515514399581</v>
      </c>
      <c r="V62" s="228" t="s">
        <v>419</v>
      </c>
      <c r="W62" s="229">
        <f t="shared" ref="W62:W64" si="108">S62/R62</f>
        <v>0.82075845158703276</v>
      </c>
      <c r="X62" s="229">
        <f t="shared" ref="X62:X64" si="109">U62/T62</f>
        <v>0.78710557837060924</v>
      </c>
      <c r="Z62" s="230">
        <f t="shared" ref="Z62:Z64" si="110">100*((EXP(LN(W62)/10))-1)</f>
        <v>-1.955883723568197</v>
      </c>
      <c r="AA62" s="230">
        <f t="shared" ref="AA62:AA64" si="111">100*((EXP(LN(X62)/10))-1)</f>
        <v>-2.3655016830505748</v>
      </c>
    </row>
    <row r="63" spans="1:28" ht="15">
      <c r="A63" s="221" t="s">
        <v>332</v>
      </c>
      <c r="B63" s="94"/>
      <c r="C63" s="214">
        <f>C51+C52+C54+C55</f>
        <v>3358.5494255299964</v>
      </c>
      <c r="D63" s="214">
        <f>D51+D52+D54+D55</f>
        <v>6639.8277558723512</v>
      </c>
      <c r="E63" s="244" t="s">
        <v>11</v>
      </c>
      <c r="F63" s="227">
        <f>F51+F52+F54+F55</f>
        <v>3.8992034099999211</v>
      </c>
      <c r="G63" s="227">
        <f t="shared" ref="G63:I63" si="112">G51+G52+G54+G55</f>
        <v>5.2525958185202821</v>
      </c>
      <c r="H63" s="227">
        <f t="shared" si="112"/>
        <v>19.558331829999211</v>
      </c>
      <c r="I63" s="227">
        <f t="shared" si="112"/>
        <v>25.178726167382479</v>
      </c>
      <c r="J63" s="89">
        <f t="shared" ref="J63:J64" si="113">H63/F63</f>
        <v>5.0159814129829163</v>
      </c>
      <c r="K63" s="89">
        <f t="shared" ref="K63:K64" si="114">I63/G63</f>
        <v>4.7935776970700976</v>
      </c>
      <c r="L63" s="49"/>
      <c r="M63" s="88">
        <f t="shared" ref="M63:M64" si="115">C63/F63</f>
        <v>861.34245187533429</v>
      </c>
      <c r="N63" s="33">
        <f t="shared" ref="N63:N64" si="116">D63/G63</f>
        <v>1264.1040706883989</v>
      </c>
      <c r="O63" s="237">
        <f t="shared" ref="O63:O64" si="117">C63/H63</f>
        <v>171.71962592323661</v>
      </c>
      <c r="P63" s="237">
        <f t="shared" ref="P63:P64" si="118">D63/I63</f>
        <v>263.70785049776856</v>
      </c>
      <c r="Q63" s="73"/>
      <c r="R63" s="33">
        <f t="shared" si="104"/>
        <v>812.58721875031529</v>
      </c>
      <c r="S63" s="33">
        <f t="shared" si="105"/>
        <v>825.61223775004282</v>
      </c>
      <c r="T63" s="235">
        <f t="shared" si="106"/>
        <v>161.99964709739302</v>
      </c>
      <c r="U63" s="235">
        <f t="shared" si="107"/>
        <v>172.23299379389817</v>
      </c>
      <c r="V63" s="220" t="s">
        <v>332</v>
      </c>
      <c r="W63" s="229">
        <f t="shared" si="108"/>
        <v>1.0160290719558189</v>
      </c>
      <c r="X63" s="229">
        <f t="shared" si="109"/>
        <v>1.0631689443764833</v>
      </c>
      <c r="Z63" s="230">
        <f t="shared" si="110"/>
        <v>0.15914613202434591</v>
      </c>
      <c r="AA63" s="230">
        <f t="shared" si="111"/>
        <v>0.61442004785381421</v>
      </c>
    </row>
    <row r="64" spans="1:28">
      <c r="A64" s="221" t="s">
        <v>333</v>
      </c>
      <c r="B64" s="49"/>
      <c r="C64" s="214">
        <f>C58+C59</f>
        <v>284.72248373418097</v>
      </c>
      <c r="D64" s="214">
        <f>D58+D59</f>
        <v>402.62825191492243</v>
      </c>
      <c r="E64" s="244" t="s">
        <v>11</v>
      </c>
      <c r="F64" s="227">
        <f>F58+F59</f>
        <v>0.1686405699999996</v>
      </c>
      <c r="G64" s="227">
        <f t="shared" ref="G64:I64" si="119">G58+G59</f>
        <v>0.25857176134486198</v>
      </c>
      <c r="H64" s="227">
        <f t="shared" si="119"/>
        <v>0.60886462000001529</v>
      </c>
      <c r="I64" s="227">
        <f t="shared" si="119"/>
        <v>0.97248843567653998</v>
      </c>
      <c r="J64" s="89">
        <f t="shared" si="113"/>
        <v>3.6104279059304458</v>
      </c>
      <c r="K64" s="89">
        <f t="shared" si="114"/>
        <v>3.7610001595631086</v>
      </c>
      <c r="L64" s="49"/>
      <c r="M64" s="88">
        <f t="shared" si="115"/>
        <v>1688.3391922488263</v>
      </c>
      <c r="N64" s="33">
        <f t="shared" si="116"/>
        <v>1557.1238321648341</v>
      </c>
      <c r="O64" s="237">
        <f t="shared" si="117"/>
        <v>467.62855712354218</v>
      </c>
      <c r="P64" s="237">
        <f t="shared" si="118"/>
        <v>414.01854988108147</v>
      </c>
      <c r="Q64" s="73"/>
      <c r="R64" s="33">
        <f t="shared" si="104"/>
        <v>1592.772822876251</v>
      </c>
      <c r="S64" s="33">
        <f t="shared" si="105"/>
        <v>1016.9894404559873</v>
      </c>
      <c r="T64" s="235">
        <f t="shared" si="106"/>
        <v>441.1590161542851</v>
      </c>
      <c r="U64" s="235">
        <f t="shared" si="107"/>
        <v>270.40398758561201</v>
      </c>
      <c r="V64" s="220" t="s">
        <v>333</v>
      </c>
      <c r="W64" s="229">
        <f t="shared" si="108"/>
        <v>0.63850250697993061</v>
      </c>
      <c r="X64" s="229">
        <f t="shared" si="109"/>
        <v>0.61293995517263666</v>
      </c>
      <c r="Z64" s="230">
        <f t="shared" si="110"/>
        <v>-4.3871506672145451</v>
      </c>
      <c r="AA64" s="230">
        <f t="shared" si="111"/>
        <v>-4.7770145970638005</v>
      </c>
    </row>
    <row r="65" spans="1:13">
      <c r="A65" s="4"/>
      <c r="B65" s="49"/>
      <c r="C65" s="49"/>
      <c r="D65" s="49"/>
      <c r="E65" s="49"/>
      <c r="F65" s="49"/>
      <c r="G65" s="49"/>
      <c r="I65" s="49"/>
      <c r="J65" s="49"/>
      <c r="K65" s="49"/>
      <c r="L65" s="49"/>
      <c r="M65" s="88"/>
    </row>
    <row r="67" spans="1:13">
      <c r="H67" s="99" t="s">
        <v>247</v>
      </c>
    </row>
    <row r="68" spans="1:13">
      <c r="H68" s="99" t="s">
        <v>255</v>
      </c>
    </row>
  </sheetData>
  <phoneticPr fontId="51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49"/>
  <sheetViews>
    <sheetView topLeftCell="A2" zoomScale="125" zoomScaleNormal="125" zoomScalePageLayoutView="125" workbookViewId="0">
      <pane ySplit="3220" topLeftCell="A40"/>
      <selection activeCell="I7" sqref="I7"/>
      <selection pane="bottomLeft" activeCell="D52" sqref="D52"/>
    </sheetView>
  </sheetViews>
  <sheetFormatPr baseColWidth="10" defaultRowHeight="14"/>
  <cols>
    <col min="1" max="1" width="22.33203125" customWidth="1"/>
  </cols>
  <sheetData>
    <row r="1" spans="1:9">
      <c r="B1" t="s">
        <v>120</v>
      </c>
    </row>
    <row r="3" spans="1:9">
      <c r="B3" t="s">
        <v>194</v>
      </c>
    </row>
    <row r="4" spans="1:9">
      <c r="B4" t="s">
        <v>87</v>
      </c>
    </row>
    <row r="5" spans="1:9">
      <c r="I5" s="71" t="s">
        <v>197</v>
      </c>
    </row>
    <row r="6" spans="1:9">
      <c r="B6" s="3"/>
      <c r="C6" s="3"/>
      <c r="D6" s="3" t="s">
        <v>93</v>
      </c>
      <c r="E6" s="3" t="s">
        <v>94</v>
      </c>
      <c r="F6" s="3" t="s">
        <v>95</v>
      </c>
      <c r="G6" s="3"/>
      <c r="I6" s="68" t="s">
        <v>121</v>
      </c>
    </row>
    <row r="7" spans="1:9">
      <c r="B7" s="3" t="s">
        <v>96</v>
      </c>
      <c r="C7" s="3" t="s">
        <v>88</v>
      </c>
      <c r="D7" s="3" t="s">
        <v>89</v>
      </c>
      <c r="E7" s="3" t="s">
        <v>89</v>
      </c>
      <c r="F7" s="3" t="s">
        <v>90</v>
      </c>
      <c r="G7" s="3" t="s">
        <v>90</v>
      </c>
      <c r="I7" s="69" t="s">
        <v>16</v>
      </c>
    </row>
    <row r="8" spans="1:9">
      <c r="B8" s="3" t="s">
        <v>97</v>
      </c>
      <c r="C8" s="3" t="s">
        <v>91</v>
      </c>
      <c r="D8" s="3" t="s">
        <v>92</v>
      </c>
      <c r="E8" s="3" t="s">
        <v>92</v>
      </c>
      <c r="F8" s="3" t="s">
        <v>92</v>
      </c>
      <c r="G8" s="3" t="s">
        <v>91</v>
      </c>
      <c r="I8" s="70" t="s">
        <v>198</v>
      </c>
    </row>
    <row r="9" spans="1:9">
      <c r="A9">
        <v>1851</v>
      </c>
      <c r="B9">
        <v>107</v>
      </c>
      <c r="C9">
        <v>107</v>
      </c>
      <c r="D9">
        <v>90</v>
      </c>
      <c r="E9">
        <v>114</v>
      </c>
      <c r="F9">
        <v>96</v>
      </c>
      <c r="G9" s="3" t="s">
        <v>196</v>
      </c>
    </row>
    <row r="10" spans="1:9">
      <c r="A10" t="s">
        <v>294</v>
      </c>
    </row>
    <row r="11" spans="1:9">
      <c r="A11" t="s">
        <v>316</v>
      </c>
    </row>
    <row r="12" spans="1:9">
      <c r="A12" t="s">
        <v>317</v>
      </c>
    </row>
    <row r="13" spans="1:9">
      <c r="A13" t="s">
        <v>318</v>
      </c>
    </row>
    <row r="14" spans="1:9">
      <c r="A14">
        <v>1856</v>
      </c>
      <c r="B14">
        <v>114</v>
      </c>
      <c r="C14">
        <v>104</v>
      </c>
      <c r="D14">
        <v>88</v>
      </c>
      <c r="E14">
        <v>113</v>
      </c>
      <c r="F14">
        <v>98</v>
      </c>
      <c r="G14" s="3" t="s">
        <v>196</v>
      </c>
    </row>
    <row r="15" spans="1:9">
      <c r="A15">
        <v>1857</v>
      </c>
      <c r="B15">
        <v>109</v>
      </c>
      <c r="C15">
        <v>105</v>
      </c>
      <c r="D15">
        <v>86</v>
      </c>
      <c r="E15">
        <v>121</v>
      </c>
      <c r="F15">
        <v>92</v>
      </c>
      <c r="G15" s="3" t="s">
        <v>196</v>
      </c>
    </row>
    <row r="16" spans="1:9">
      <c r="A16">
        <v>1858</v>
      </c>
      <c r="B16">
        <v>111</v>
      </c>
      <c r="C16">
        <v>103</v>
      </c>
      <c r="D16">
        <v>92</v>
      </c>
      <c r="E16">
        <v>103</v>
      </c>
      <c r="F16">
        <v>92</v>
      </c>
      <c r="G16" s="3" t="s">
        <v>196</v>
      </c>
    </row>
    <row r="17" spans="1:7">
      <c r="A17">
        <v>1859</v>
      </c>
      <c r="B17">
        <v>105</v>
      </c>
      <c r="C17">
        <v>104</v>
      </c>
      <c r="D17">
        <v>93</v>
      </c>
      <c r="E17">
        <v>104</v>
      </c>
      <c r="F17">
        <v>90</v>
      </c>
      <c r="G17" s="3" t="s">
        <v>196</v>
      </c>
    </row>
    <row r="18" spans="1:7">
      <c r="A18">
        <v>1860</v>
      </c>
      <c r="B18">
        <v>112</v>
      </c>
      <c r="C18">
        <v>100</v>
      </c>
      <c r="D18">
        <v>93</v>
      </c>
      <c r="E18">
        <v>105</v>
      </c>
      <c r="F18">
        <v>84</v>
      </c>
      <c r="G18" s="3" t="s">
        <v>196</v>
      </c>
    </row>
    <row r="19" spans="1:7">
      <c r="A19" t="s">
        <v>319</v>
      </c>
    </row>
    <row r="20" spans="1:7">
      <c r="A20" t="s">
        <v>320</v>
      </c>
    </row>
    <row r="21" spans="1:7">
      <c r="A21" t="s">
        <v>321</v>
      </c>
    </row>
    <row r="22" spans="1:7">
      <c r="A22" t="s">
        <v>322</v>
      </c>
    </row>
    <row r="23" spans="1:7">
      <c r="A23" t="s">
        <v>323</v>
      </c>
    </row>
    <row r="24" spans="1:7">
      <c r="A24">
        <v>1866</v>
      </c>
      <c r="B24">
        <v>105</v>
      </c>
      <c r="C24">
        <v>104</v>
      </c>
      <c r="D24">
        <v>94</v>
      </c>
      <c r="E24">
        <v>90</v>
      </c>
      <c r="F24">
        <v>96</v>
      </c>
      <c r="G24">
        <v>155</v>
      </c>
    </row>
    <row r="25" spans="1:7">
      <c r="A25">
        <v>1867</v>
      </c>
      <c r="B25">
        <v>107</v>
      </c>
      <c r="C25">
        <v>104</v>
      </c>
      <c r="D25">
        <v>93</v>
      </c>
      <c r="E25">
        <v>94</v>
      </c>
      <c r="F25">
        <v>88</v>
      </c>
      <c r="G25">
        <v>149</v>
      </c>
    </row>
    <row r="26" spans="1:7">
      <c r="A26">
        <v>1868</v>
      </c>
      <c r="B26">
        <v>112</v>
      </c>
      <c r="C26">
        <v>105</v>
      </c>
      <c r="D26">
        <v>93</v>
      </c>
      <c r="E26">
        <v>94</v>
      </c>
      <c r="F26">
        <v>84</v>
      </c>
      <c r="G26">
        <v>153</v>
      </c>
    </row>
    <row r="27" spans="1:7">
      <c r="A27">
        <v>1869</v>
      </c>
      <c r="B27">
        <v>112</v>
      </c>
      <c r="C27">
        <v>104</v>
      </c>
      <c r="D27">
        <v>91</v>
      </c>
      <c r="E27">
        <v>95</v>
      </c>
      <c r="F27">
        <v>87</v>
      </c>
      <c r="G27">
        <v>131</v>
      </c>
    </row>
    <row r="28" spans="1:7">
      <c r="A28">
        <v>1870</v>
      </c>
      <c r="B28">
        <v>108</v>
      </c>
      <c r="C28">
        <v>105</v>
      </c>
      <c r="D28">
        <v>91</v>
      </c>
      <c r="E28">
        <v>98</v>
      </c>
      <c r="F28">
        <v>91</v>
      </c>
      <c r="G28" s="3" t="s">
        <v>196</v>
      </c>
    </row>
    <row r="29" spans="1:7">
      <c r="A29" t="s">
        <v>324</v>
      </c>
    </row>
    <row r="30" spans="1:7">
      <c r="A30" t="s">
        <v>325</v>
      </c>
    </row>
    <row r="31" spans="1:7">
      <c r="A31" t="s">
        <v>326</v>
      </c>
    </row>
    <row r="32" spans="1:7">
      <c r="A32" t="s">
        <v>327</v>
      </c>
    </row>
    <row r="33" spans="1:8">
      <c r="A33" t="s">
        <v>328</v>
      </c>
    </row>
    <row r="34" spans="1:8">
      <c r="A34" t="s">
        <v>329</v>
      </c>
    </row>
    <row r="35" spans="1:8">
      <c r="A35" t="s">
        <v>330</v>
      </c>
    </row>
    <row r="36" spans="1:8">
      <c r="A36" t="s">
        <v>84</v>
      </c>
    </row>
    <row r="37" spans="1:8">
      <c r="A37" t="s">
        <v>85</v>
      </c>
    </row>
    <row r="38" spans="1:8">
      <c r="A38" t="s">
        <v>86</v>
      </c>
    </row>
    <row r="40" spans="1:8">
      <c r="A40" t="s">
        <v>100</v>
      </c>
    </row>
    <row r="41" spans="1:8">
      <c r="A41" t="s">
        <v>101</v>
      </c>
      <c r="B41">
        <v>111</v>
      </c>
      <c r="C41">
        <v>105</v>
      </c>
      <c r="D41">
        <v>89</v>
      </c>
      <c r="E41">
        <v>109</v>
      </c>
      <c r="F41">
        <v>93</v>
      </c>
    </row>
    <row r="42" spans="1:8">
      <c r="A42" t="s">
        <v>102</v>
      </c>
      <c r="B42">
        <v>105</v>
      </c>
      <c r="C42">
        <v>102</v>
      </c>
      <c r="D42">
        <v>94</v>
      </c>
      <c r="E42">
        <v>97</v>
      </c>
      <c r="F42">
        <v>100</v>
      </c>
      <c r="G42">
        <v>147</v>
      </c>
      <c r="H42" t="s">
        <v>98</v>
      </c>
    </row>
    <row r="43" spans="1:8">
      <c r="A43" t="s">
        <v>193</v>
      </c>
      <c r="B43">
        <v>108</v>
      </c>
      <c r="C43">
        <v>105</v>
      </c>
      <c r="D43">
        <v>92</v>
      </c>
      <c r="E43">
        <v>102</v>
      </c>
      <c r="F43">
        <v>87</v>
      </c>
      <c r="G43">
        <v>135</v>
      </c>
    </row>
    <row r="44" spans="1:8">
      <c r="A44" t="s">
        <v>103</v>
      </c>
      <c r="B44">
        <v>108</v>
      </c>
      <c r="C44">
        <v>104</v>
      </c>
      <c r="D44">
        <v>92</v>
      </c>
      <c r="E44">
        <v>103</v>
      </c>
      <c r="F44">
        <v>93</v>
      </c>
      <c r="G44">
        <v>139</v>
      </c>
      <c r="H44" t="s">
        <v>99</v>
      </c>
    </row>
    <row r="46" spans="1:8">
      <c r="A46" t="s">
        <v>195</v>
      </c>
    </row>
    <row r="47" spans="1:8">
      <c r="A47">
        <v>1851</v>
      </c>
      <c r="B47" s="67">
        <f>B9</f>
        <v>107</v>
      </c>
      <c r="C47" s="67">
        <f t="shared" ref="C47:G48" si="0">C9</f>
        <v>107</v>
      </c>
      <c r="D47" s="67">
        <f t="shared" si="0"/>
        <v>90</v>
      </c>
      <c r="E47" s="67">
        <f t="shared" si="0"/>
        <v>114</v>
      </c>
      <c r="F47" s="67">
        <f t="shared" si="0"/>
        <v>96</v>
      </c>
      <c r="G47" s="3" t="str">
        <f t="shared" si="0"/>
        <v>. .</v>
      </c>
    </row>
    <row r="48" spans="1:8">
      <c r="A48" s="3" t="s">
        <v>161</v>
      </c>
      <c r="B48">
        <f>AVERAGE(B14:B18)</f>
        <v>110.2</v>
      </c>
      <c r="C48">
        <f t="shared" ref="C48:F48" si="1">AVERAGE(C14:C18)</f>
        <v>103.2</v>
      </c>
      <c r="D48">
        <f t="shared" si="1"/>
        <v>90.4</v>
      </c>
      <c r="E48">
        <f t="shared" si="1"/>
        <v>109.2</v>
      </c>
      <c r="F48">
        <f t="shared" si="1"/>
        <v>91.2</v>
      </c>
      <c r="G48" s="3">
        <f t="shared" si="0"/>
        <v>0</v>
      </c>
    </row>
    <row r="49" spans="1:7">
      <c r="A49" s="3" t="s">
        <v>162</v>
      </c>
      <c r="B49">
        <f>AVERAGE(B24:B28)</f>
        <v>108.8</v>
      </c>
      <c r="C49">
        <f t="shared" ref="C49:G49" si="2">AVERAGE(C24:C28)</f>
        <v>104.4</v>
      </c>
      <c r="D49">
        <f t="shared" si="2"/>
        <v>92.4</v>
      </c>
      <c r="E49">
        <f t="shared" si="2"/>
        <v>94.2</v>
      </c>
      <c r="F49">
        <f t="shared" si="2"/>
        <v>89.2</v>
      </c>
      <c r="G49" s="6">
        <f t="shared" si="2"/>
        <v>147</v>
      </c>
    </row>
  </sheetData>
  <phoneticPr fontId="5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47"/>
  <sheetViews>
    <sheetView workbookViewId="0">
      <selection activeCell="I20" sqref="I20"/>
    </sheetView>
  </sheetViews>
  <sheetFormatPr baseColWidth="10" defaultRowHeight="14"/>
  <cols>
    <col min="3" max="5" width="10.83203125" style="7"/>
    <col min="6" max="6" width="3.83203125" style="7" customWidth="1"/>
    <col min="7" max="7" width="10.83203125" style="8"/>
  </cols>
  <sheetData>
    <row r="1" spans="1:9" ht="18">
      <c r="B1" s="65" t="s">
        <v>48</v>
      </c>
    </row>
    <row r="3" spans="1:9" ht="18">
      <c r="B3" s="66" t="s">
        <v>292</v>
      </c>
    </row>
    <row r="4" spans="1:9">
      <c r="B4" s="26" t="s">
        <v>29</v>
      </c>
    </row>
    <row r="5" spans="1:9">
      <c r="B5" s="26" t="s">
        <v>30</v>
      </c>
    </row>
    <row r="6" spans="1:9">
      <c r="B6" s="26" t="s">
        <v>19</v>
      </c>
    </row>
    <row r="7" spans="1:9">
      <c r="C7" s="64"/>
      <c r="D7" s="64"/>
      <c r="E7" s="64"/>
      <c r="F7" s="64"/>
      <c r="G7" s="16" t="s">
        <v>163</v>
      </c>
      <c r="I7" s="231" t="s">
        <v>372</v>
      </c>
    </row>
    <row r="8" spans="1:9">
      <c r="C8" s="64" t="s">
        <v>160</v>
      </c>
      <c r="D8" s="64" t="s">
        <v>161</v>
      </c>
      <c r="E8" s="64" t="s">
        <v>162</v>
      </c>
      <c r="F8" s="64"/>
      <c r="G8" s="16" t="s">
        <v>290</v>
      </c>
      <c r="I8" s="232" t="s">
        <v>373</v>
      </c>
    </row>
    <row r="9" spans="1:9">
      <c r="A9" t="s">
        <v>49</v>
      </c>
      <c r="B9" t="s">
        <v>124</v>
      </c>
      <c r="C9" s="7">
        <v>43.166510508000002</v>
      </c>
      <c r="D9" s="7">
        <v>38.139970980000001</v>
      </c>
      <c r="E9" s="7">
        <v>33.113431452</v>
      </c>
      <c r="G9" s="8">
        <v>0.86820809248554909</v>
      </c>
    </row>
    <row r="10" spans="1:9">
      <c r="A10" t="s">
        <v>133</v>
      </c>
      <c r="B10" t="s">
        <v>124</v>
      </c>
      <c r="C10" s="7">
        <v>12.182744487599999</v>
      </c>
      <c r="D10" s="7">
        <v>4.0609148291999997</v>
      </c>
      <c r="E10" s="7">
        <v>3.1834750343999998</v>
      </c>
      <c r="G10" s="8">
        <v>0.78393051031487515</v>
      </c>
    </row>
    <row r="11" spans="1:9">
      <c r="A11" t="s">
        <v>134</v>
      </c>
      <c r="B11" t="s">
        <v>135</v>
      </c>
      <c r="C11" s="7">
        <v>96.3</v>
      </c>
      <c r="D11" s="7">
        <v>21.8</v>
      </c>
      <c r="E11" s="7">
        <v>19.18</v>
      </c>
      <c r="G11" s="8">
        <v>0.87981651376146786</v>
      </c>
    </row>
    <row r="12" spans="1:9">
      <c r="A12" t="s">
        <v>136</v>
      </c>
      <c r="B12" t="s">
        <v>124</v>
      </c>
      <c r="C12" s="7">
        <v>120.85741093200002</v>
      </c>
      <c r="D12" s="7">
        <v>89.507677560000005</v>
      </c>
      <c r="E12" s="7">
        <v>83.907936155999991</v>
      </c>
      <c r="G12" s="8">
        <v>0.93743842364532004</v>
      </c>
    </row>
    <row r="13" spans="1:9">
      <c r="A13" t="s">
        <v>137</v>
      </c>
      <c r="B13" t="s">
        <v>124</v>
      </c>
      <c r="C13" s="7">
        <v>111.64208846400001</v>
      </c>
      <c r="D13" s="7">
        <v>49.692193403999994</v>
      </c>
      <c r="E13" s="7">
        <v>39.859576607999998</v>
      </c>
      <c r="G13" s="8">
        <v>0.80212954747116239</v>
      </c>
    </row>
    <row r="14" spans="1:9">
      <c r="A14" t="s">
        <v>138</v>
      </c>
      <c r="B14" t="s">
        <v>139</v>
      </c>
      <c r="C14" s="7">
        <v>26.620819332601176</v>
      </c>
      <c r="D14" s="7">
        <v>14.418232582626228</v>
      </c>
      <c r="E14" s="7">
        <v>11.927008910092951</v>
      </c>
      <c r="G14" s="8">
        <v>0.82721712538226311</v>
      </c>
    </row>
    <row r="15" spans="1:9">
      <c r="A15" t="s">
        <v>140</v>
      </c>
      <c r="B15" t="s">
        <v>124</v>
      </c>
      <c r="C15" s="7">
        <v>35.450331407999997</v>
      </c>
      <c r="D15" s="7">
        <v>31.085178659999997</v>
      </c>
      <c r="E15" s="7">
        <v>43.651527480000006</v>
      </c>
      <c r="G15" s="8">
        <v>1.4042553191489364</v>
      </c>
    </row>
    <row r="16" spans="1:9">
      <c r="A16" t="s">
        <v>141</v>
      </c>
      <c r="B16" t="s">
        <v>124</v>
      </c>
      <c r="C16" s="7">
        <v>36.729012515999997</v>
      </c>
      <c r="D16" s="7">
        <v>26.23500894</v>
      </c>
      <c r="E16" s="7">
        <v>36.596735160000001</v>
      </c>
      <c r="G16" s="8">
        <v>1.3949579831932775</v>
      </c>
    </row>
    <row r="17" spans="1:7">
      <c r="A17" t="s">
        <v>142</v>
      </c>
      <c r="B17" t="s">
        <v>143</v>
      </c>
      <c r="C17" s="7">
        <v>41.88541105025682</v>
      </c>
      <c r="D17" s="7">
        <v>32.923749255086697</v>
      </c>
      <c r="E17" s="7">
        <v>17.741706631856751</v>
      </c>
      <c r="G17" s="8">
        <v>0.53887260817100502</v>
      </c>
    </row>
    <row r="18" spans="1:7">
      <c r="A18" t="s">
        <v>144</v>
      </c>
      <c r="B18" t="s">
        <v>145</v>
      </c>
      <c r="C18" s="7">
        <v>58.378407078036524</v>
      </c>
    </row>
    <row r="19" spans="1:7">
      <c r="A19" t="s">
        <v>146</v>
      </c>
      <c r="B19" t="s">
        <v>147</v>
      </c>
    </row>
    <row r="20" spans="1:7">
      <c r="A20" t="s">
        <v>148</v>
      </c>
      <c r="B20" t="s">
        <v>149</v>
      </c>
      <c r="C20" s="7">
        <v>14.629471890971038</v>
      </c>
      <c r="D20" s="7">
        <v>7.5570698466780231</v>
      </c>
      <c r="E20" s="7">
        <v>4.9369676320272573</v>
      </c>
      <c r="G20" s="8">
        <v>0.6532912533814248</v>
      </c>
    </row>
    <row r="21" spans="1:7">
      <c r="A21" t="s">
        <v>150</v>
      </c>
      <c r="B21" t="s">
        <v>124</v>
      </c>
      <c r="C21" s="7">
        <v>55.644674424000002</v>
      </c>
      <c r="D21" s="7">
        <v>39.374559636000001</v>
      </c>
      <c r="E21" s="7">
        <v>37.169937036000007</v>
      </c>
      <c r="G21" s="8">
        <v>0.94400895856662947</v>
      </c>
    </row>
    <row r="22" spans="1:7">
      <c r="A22" t="s">
        <v>279</v>
      </c>
      <c r="B22" t="s">
        <v>124</v>
      </c>
      <c r="C22" s="7">
        <v>13.282851165</v>
      </c>
      <c r="D22" s="7">
        <v>27.866429663999998</v>
      </c>
      <c r="E22" s="7">
        <v>33.289801260000004</v>
      </c>
      <c r="G22" s="8">
        <v>1.1946202531645571</v>
      </c>
    </row>
    <row r="23" spans="1:7">
      <c r="A23" t="s">
        <v>280</v>
      </c>
      <c r="B23" t="s">
        <v>124</v>
      </c>
      <c r="C23" s="7">
        <v>15.741005363999999</v>
      </c>
      <c r="D23" s="7">
        <v>7.0988847719999999</v>
      </c>
      <c r="E23" s="7">
        <v>8.0689187160000007</v>
      </c>
      <c r="G23" s="8">
        <v>1.1366459627329193</v>
      </c>
    </row>
    <row r="24" spans="1:7">
      <c r="A24" t="s">
        <v>281</v>
      </c>
      <c r="B24" t="s">
        <v>124</v>
      </c>
      <c r="C24" s="7">
        <v>66.028446869999996</v>
      </c>
      <c r="D24" s="7">
        <v>84.613415387999993</v>
      </c>
      <c r="E24" s="7">
        <v>52.734572592000006</v>
      </c>
      <c r="G24" s="8">
        <v>0.62324127149557074</v>
      </c>
    </row>
    <row r="25" spans="1:7">
      <c r="A25" t="s">
        <v>282</v>
      </c>
      <c r="B25" t="s">
        <v>124</v>
      </c>
      <c r="C25" s="7">
        <v>15.564635555999999</v>
      </c>
      <c r="D25" s="7">
        <v>9.3035073719999986</v>
      </c>
      <c r="E25" s="7">
        <v>12.301794108000001</v>
      </c>
      <c r="G25" s="8">
        <v>1.3222748815165879</v>
      </c>
    </row>
    <row r="26" spans="1:7">
      <c r="A26" t="s">
        <v>283</v>
      </c>
      <c r="B26" t="s">
        <v>149</v>
      </c>
      <c r="C26" s="7">
        <v>45.279089582803117</v>
      </c>
      <c r="D26" s="7">
        <v>31.700646148987015</v>
      </c>
      <c r="E26" s="7">
        <v>30.960964405510651</v>
      </c>
      <c r="G26" s="8">
        <v>0.97666666666666668</v>
      </c>
    </row>
    <row r="27" spans="1:7">
      <c r="A27" t="s">
        <v>284</v>
      </c>
      <c r="B27" t="s">
        <v>285</v>
      </c>
      <c r="C27" s="7">
        <v>104.58333333333334</v>
      </c>
      <c r="D27" s="7">
        <v>34.166666666666664</v>
      </c>
      <c r="E27" s="7">
        <v>24.433333333333334</v>
      </c>
      <c r="G27" s="8">
        <v>0.71512195121951228</v>
      </c>
    </row>
    <row r="28" spans="1:7">
      <c r="A28" t="s">
        <v>286</v>
      </c>
      <c r="B28" t="s">
        <v>149</v>
      </c>
      <c r="C28" s="7">
        <v>69.139305882686799</v>
      </c>
      <c r="D28" s="7">
        <v>74.899968784585269</v>
      </c>
      <c r="E28" s="7">
        <v>68.004199892164934</v>
      </c>
      <c r="G28" s="8">
        <v>0.90793362127756305</v>
      </c>
    </row>
    <row r="29" spans="1:7">
      <c r="A29" t="s">
        <v>287</v>
      </c>
      <c r="B29" t="s">
        <v>124</v>
      </c>
      <c r="C29" s="7">
        <v>394.29675200999998</v>
      </c>
      <c r="D29" s="7">
        <v>128.97042210000001</v>
      </c>
      <c r="E29" s="7">
        <v>131.307322056</v>
      </c>
      <c r="G29" s="8">
        <v>1.0181196581196581</v>
      </c>
    </row>
    <row r="30" spans="1:7">
      <c r="A30" t="s">
        <v>288</v>
      </c>
      <c r="B30" t="s">
        <v>53</v>
      </c>
      <c r="C30" s="7">
        <v>4.99</v>
      </c>
      <c r="D30" s="7">
        <v>4.6339999999999995</v>
      </c>
      <c r="E30" s="7">
        <v>4.218</v>
      </c>
      <c r="G30" s="8">
        <v>0.91022874406560217</v>
      </c>
    </row>
    <row r="31" spans="1:7">
      <c r="A31" t="s">
        <v>54</v>
      </c>
      <c r="B31" t="s">
        <v>124</v>
      </c>
      <c r="C31" s="7">
        <v>15.829190268</v>
      </c>
      <c r="D31" s="7">
        <v>11.860869588</v>
      </c>
      <c r="E31" s="7">
        <v>14.859156324000001</v>
      </c>
      <c r="G31" s="8">
        <v>1.2527881040892195</v>
      </c>
    </row>
    <row r="32" spans="1:7">
      <c r="A32" t="s">
        <v>55</v>
      </c>
      <c r="B32" t="s">
        <v>124</v>
      </c>
      <c r="C32" s="7">
        <v>16.755131760000001</v>
      </c>
      <c r="D32" s="7">
        <v>11.287667711999998</v>
      </c>
      <c r="E32" s="7">
        <v>10.890835644000001</v>
      </c>
      <c r="G32" s="8">
        <v>0.96484375000000033</v>
      </c>
    </row>
    <row r="33" spans="1:8">
      <c r="A33" t="s">
        <v>56</v>
      </c>
      <c r="B33" t="s">
        <v>124</v>
      </c>
      <c r="C33" s="7">
        <v>130.24910320800001</v>
      </c>
      <c r="D33" s="7">
        <v>61.288508280000009</v>
      </c>
      <c r="E33" s="7">
        <v>64.507257276000004</v>
      </c>
      <c r="G33" s="8">
        <v>1.0525179856115108</v>
      </c>
    </row>
    <row r="34" spans="1:8">
      <c r="A34" t="s">
        <v>57</v>
      </c>
      <c r="B34" t="s">
        <v>58</v>
      </c>
      <c r="C34" s="7">
        <v>9.8023679999999977</v>
      </c>
      <c r="D34" s="7">
        <v>8.6502239999999997</v>
      </c>
      <c r="E34" s="7">
        <v>14.959584000000001</v>
      </c>
      <c r="G34" s="8">
        <v>1.7293868921775901</v>
      </c>
    </row>
    <row r="35" spans="1:8">
      <c r="A35" t="s">
        <v>59</v>
      </c>
      <c r="B35" t="s">
        <v>60</v>
      </c>
      <c r="C35" s="7">
        <v>7.2708453348000006</v>
      </c>
      <c r="D35" s="7">
        <v>5.2866849947999999</v>
      </c>
      <c r="E35" s="7">
        <v>5.7099725340000003</v>
      </c>
      <c r="G35" s="8">
        <v>1.0800667222685572</v>
      </c>
    </row>
    <row r="36" spans="1:8">
      <c r="A36" t="s">
        <v>61</v>
      </c>
      <c r="B36" t="s">
        <v>151</v>
      </c>
      <c r="C36" s="7">
        <v>2.2793749999999999</v>
      </c>
      <c r="D36" s="7">
        <v>0.86516666666666675</v>
      </c>
      <c r="E36" s="7">
        <v>0.95183333333333342</v>
      </c>
      <c r="G36" s="8">
        <v>1.1001733769986515</v>
      </c>
    </row>
    <row r="37" spans="1:8">
      <c r="A37" t="s">
        <v>152</v>
      </c>
      <c r="B37" t="s">
        <v>124</v>
      </c>
      <c r="C37" s="7">
        <v>27.557782499999998</v>
      </c>
      <c r="D37" s="7">
        <v>32.540229576000002</v>
      </c>
      <c r="E37" s="7">
        <v>32.055212604000005</v>
      </c>
      <c r="G37" s="8">
        <v>0.98509485094850957</v>
      </c>
    </row>
    <row r="38" spans="1:8">
      <c r="A38" t="s">
        <v>153</v>
      </c>
      <c r="B38" t="s">
        <v>124</v>
      </c>
      <c r="C38" s="7">
        <v>23.060352395999999</v>
      </c>
      <c r="D38" s="7">
        <v>21.164376959999998</v>
      </c>
      <c r="E38" s="7">
        <v>23.765831627999997</v>
      </c>
      <c r="G38" s="8">
        <v>1.1229166666666666</v>
      </c>
    </row>
    <row r="39" spans="1:8">
      <c r="A39" t="s">
        <v>154</v>
      </c>
      <c r="B39" t="s">
        <v>124</v>
      </c>
      <c r="C39" s="7">
        <v>159.04147436399998</v>
      </c>
      <c r="D39" s="7">
        <v>81.835590912000015</v>
      </c>
      <c r="E39" s="7">
        <v>204.58897727999999</v>
      </c>
      <c r="G39" s="8">
        <v>2.4999999999999996</v>
      </c>
    </row>
    <row r="40" spans="1:8">
      <c r="A40" t="s">
        <v>155</v>
      </c>
      <c r="B40" t="s">
        <v>124</v>
      </c>
      <c r="C40" s="7">
        <v>95.856990648000007</v>
      </c>
      <c r="D40" s="7">
        <v>81.086019228000012</v>
      </c>
      <c r="E40" s="7">
        <v>144.18231803999998</v>
      </c>
      <c r="G40" s="8">
        <v>1.7781402936378461</v>
      </c>
    </row>
    <row r="41" spans="1:8">
      <c r="A41" t="s">
        <v>156</v>
      </c>
      <c r="B41" t="s">
        <v>143</v>
      </c>
      <c r="C41" s="7">
        <v>38.690638624838655</v>
      </c>
      <c r="D41" s="7">
        <v>22.618411027302233</v>
      </c>
      <c r="E41" s="7">
        <v>16.621705464118858</v>
      </c>
      <c r="G41" s="8">
        <v>0.73487502919878533</v>
      </c>
    </row>
    <row r="42" spans="1:8">
      <c r="A42" t="s">
        <v>157</v>
      </c>
      <c r="B42" t="s">
        <v>124</v>
      </c>
      <c r="C42" s="7">
        <v>13.88912238</v>
      </c>
      <c r="D42" s="7">
        <v>6.4198610112000001</v>
      </c>
      <c r="E42" s="7">
        <v>4.2284661467999998</v>
      </c>
      <c r="G42" s="8">
        <v>0.65865384615384615</v>
      </c>
    </row>
    <row r="43" spans="1:8">
      <c r="A43" t="s">
        <v>158</v>
      </c>
      <c r="B43" t="s">
        <v>149</v>
      </c>
      <c r="C43" s="7">
        <v>19.390228561130392</v>
      </c>
      <c r="D43" s="7">
        <v>11.517901434131947</v>
      </c>
      <c r="E43" s="7">
        <v>40.650795245051015</v>
      </c>
      <c r="G43" s="8">
        <v>3.5293577981651381</v>
      </c>
    </row>
    <row r="44" spans="1:8">
      <c r="A44" t="s">
        <v>159</v>
      </c>
      <c r="B44" t="s">
        <v>124</v>
      </c>
      <c r="D44" s="7">
        <v>19.929788304000002</v>
      </c>
      <c r="E44" s="7">
        <v>25.661807064000005</v>
      </c>
      <c r="G44" s="8">
        <v>1.2876106194690267</v>
      </c>
    </row>
    <row r="46" spans="1:8" ht="18">
      <c r="G46" s="66" t="s">
        <v>291</v>
      </c>
    </row>
    <row r="47" spans="1:8">
      <c r="G47" s="8">
        <f>MEDIAN(G9:G44)</f>
        <v>0.98088075880758807</v>
      </c>
      <c r="H47" t="s">
        <v>293</v>
      </c>
    </row>
  </sheetData>
  <phoneticPr fontId="5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Income 1860 by type</vt:lpstr>
      <vt:lpstr>Regional Income 1870 by type</vt:lpstr>
      <vt:lpstr>1860 vs 1870 tot incomes</vt:lpstr>
      <vt:lpstr>Prices, Coelho-Shepherd</vt:lpstr>
      <vt:lpstr>Prices SF 1848-1870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oscarmendezm</dc:creator>
  <cp:lastModifiedBy>Peter Lindert</cp:lastModifiedBy>
  <dcterms:created xsi:type="dcterms:W3CDTF">2013-12-18T22:46:53Z</dcterms:created>
  <dcterms:modified xsi:type="dcterms:W3CDTF">2015-12-22T03:27:11Z</dcterms:modified>
</cp:coreProperties>
</file>